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730" windowHeight="11760" activeTab="6"/>
  </bookViews>
  <sheets>
    <sheet name="Lista_1" sheetId="1" r:id="rId1"/>
    <sheet name="Lista_2" sheetId="2" r:id="rId2"/>
    <sheet name="Lista 3" sheetId="3" r:id="rId3"/>
    <sheet name="Lista 4" sheetId="4" r:id="rId4"/>
    <sheet name="Lista 5" sheetId="5" r:id="rId5"/>
    <sheet name="Lista 6" sheetId="6" r:id="rId6"/>
    <sheet name="Lista 7" sheetId="7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B203" i="7" l="1"/>
  <c r="B198" i="7"/>
  <c r="B213" i="7" s="1"/>
  <c r="B192" i="7"/>
  <c r="B210" i="7" s="1"/>
  <c r="C210" i="7" s="1"/>
  <c r="B189" i="7"/>
  <c r="D217" i="7" s="1"/>
  <c r="D218" i="7" s="1"/>
  <c r="C179" i="7"/>
  <c r="B184" i="7" s="1"/>
  <c r="B175" i="7"/>
  <c r="B165" i="7"/>
  <c r="B174" i="7" s="1"/>
  <c r="H164" i="7"/>
  <c r="G165" i="7" s="1"/>
  <c r="G166" i="7" s="1"/>
  <c r="G167" i="7" s="1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G180" i="7" s="1"/>
  <c r="G181" i="7" s="1"/>
  <c r="G182" i="7" s="1"/>
  <c r="G183" i="7" s="1"/>
  <c r="G184" i="7" s="1"/>
  <c r="G185" i="7" s="1"/>
  <c r="B150" i="7"/>
  <c r="B151" i="7" s="1"/>
  <c r="B152" i="7" s="1"/>
  <c r="B153" i="7" s="1"/>
  <c r="D142" i="7"/>
  <c r="D141" i="7"/>
  <c r="D140" i="7"/>
  <c r="D139" i="7"/>
  <c r="D138" i="7"/>
  <c r="B123" i="7"/>
  <c r="A122" i="7"/>
  <c r="D104" i="7"/>
  <c r="D103" i="7"/>
  <c r="D102" i="7"/>
  <c r="D105" i="7" s="1"/>
  <c r="C107" i="7" s="1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33" i="7"/>
  <c r="C34" i="7" s="1"/>
  <c r="C24" i="7"/>
  <c r="C23" i="7"/>
  <c r="C22" i="7"/>
  <c r="C21" i="7"/>
  <c r="C25" i="7" s="1"/>
  <c r="C27" i="7" s="1"/>
  <c r="C17" i="7"/>
  <c r="D17" i="7" s="1"/>
  <c r="D16" i="7"/>
  <c r="C16" i="7"/>
  <c r="C15" i="7"/>
  <c r="D15" i="7" s="1"/>
  <c r="D14" i="7"/>
  <c r="C14" i="7"/>
  <c r="C13" i="7"/>
  <c r="D13" i="7" s="1"/>
  <c r="C12" i="7"/>
  <c r="D12" i="7" s="1"/>
  <c r="C11" i="7"/>
  <c r="D11" i="7" s="1"/>
  <c r="C10" i="7"/>
  <c r="D10" i="7" s="1"/>
  <c r="C9" i="7"/>
  <c r="D9" i="7" s="1"/>
  <c r="C8" i="7"/>
  <c r="D8" i="7" s="1"/>
  <c r="C7" i="7"/>
  <c r="D7" i="7" s="1"/>
  <c r="C6" i="7"/>
  <c r="D6" i="7" s="1"/>
  <c r="B60" i="6"/>
  <c r="C64" i="6" s="1"/>
  <c r="B65" i="6" s="1"/>
  <c r="B66" i="6" s="1"/>
  <c r="B68" i="6" s="1"/>
  <c r="D50" i="6"/>
  <c r="B45" i="6"/>
  <c r="B44" i="6"/>
  <c r="D49" i="6" s="1"/>
  <c r="C34" i="6"/>
  <c r="C35" i="6" s="1"/>
  <c r="C38" i="6" s="1"/>
  <c r="C31" i="6"/>
  <c r="B14" i="6"/>
  <c r="B5" i="6"/>
  <c r="C3" i="6" s="1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B83" i="5" s="1"/>
  <c r="C74" i="5"/>
  <c r="C73" i="5"/>
  <c r="C57" i="5"/>
  <c r="C49" i="5"/>
  <c r="C41" i="5"/>
  <c r="D29" i="5"/>
  <c r="C29" i="5"/>
  <c r="D28" i="5"/>
  <c r="C28" i="5"/>
  <c r="C18" i="5"/>
  <c r="C16" i="5"/>
  <c r="C8" i="5"/>
  <c r="C6" i="5"/>
  <c r="G43" i="4"/>
  <c r="G44" i="4" s="1"/>
  <c r="G45" i="4" s="1"/>
  <c r="G48" i="4" s="1"/>
  <c r="G38" i="4"/>
  <c r="G34" i="4"/>
  <c r="D29" i="4"/>
  <c r="G15" i="4"/>
  <c r="G16" i="4" s="1"/>
  <c r="G20" i="4" s="1"/>
  <c r="D9" i="4"/>
  <c r="D10" i="4" s="1"/>
  <c r="I53" i="3"/>
  <c r="I58" i="3" s="1"/>
  <c r="K58" i="3" s="1"/>
  <c r="I56" i="3"/>
  <c r="D58" i="3"/>
  <c r="D43" i="3"/>
  <c r="H43" i="3" s="1"/>
  <c r="H32" i="3"/>
  <c r="I32" i="3" s="1"/>
  <c r="H34" i="3"/>
  <c r="I34" i="3" s="1"/>
  <c r="H33" i="3"/>
  <c r="I33" i="3" s="1"/>
  <c r="I31" i="3"/>
  <c r="H26" i="3"/>
  <c r="I26" i="3" s="1"/>
  <c r="I25" i="3"/>
  <c r="I24" i="3"/>
  <c r="I19" i="3"/>
  <c r="I18" i="3"/>
  <c r="I17" i="3"/>
  <c r="I16" i="3"/>
  <c r="I15" i="3"/>
  <c r="H19" i="3"/>
  <c r="H18" i="3"/>
  <c r="E9" i="3"/>
  <c r="I9" i="3" s="1"/>
  <c r="I8" i="3"/>
  <c r="I7" i="3"/>
  <c r="I6" i="3"/>
  <c r="I5" i="3"/>
  <c r="G26" i="2"/>
  <c r="E25" i="2"/>
  <c r="G25" i="2" s="1"/>
  <c r="H15" i="2"/>
  <c r="H7" i="2"/>
  <c r="H5" i="2"/>
  <c r="C59" i="1"/>
  <c r="F55" i="1"/>
  <c r="F56" i="1"/>
  <c r="G28" i="2" l="1"/>
  <c r="C90" i="7"/>
  <c r="D143" i="7"/>
  <c r="C181" i="7"/>
  <c r="G59" i="1"/>
  <c r="B89" i="5"/>
  <c r="B169" i="7"/>
  <c r="B170" i="7"/>
  <c r="B156" i="7"/>
  <c r="B155" i="7"/>
  <c r="C213" i="7"/>
  <c r="C217" i="7" s="1"/>
  <c r="C218" i="7" s="1"/>
  <c r="B221" i="7"/>
  <c r="D18" i="7"/>
  <c r="C110" i="7"/>
  <c r="C112" i="7" s="1"/>
  <c r="B200" i="7"/>
  <c r="B205" i="7" s="1"/>
  <c r="D51" i="6"/>
  <c r="C52" i="6" s="1"/>
  <c r="E50" i="6" s="1"/>
  <c r="C49" i="1"/>
  <c r="F47" i="1"/>
  <c r="F46" i="1"/>
  <c r="F45" i="1"/>
  <c r="G49" i="1" s="1"/>
  <c r="F38" i="1"/>
  <c r="F37" i="1"/>
  <c r="F36" i="1"/>
  <c r="F29" i="1"/>
  <c r="F28" i="1"/>
  <c r="F27" i="1"/>
  <c r="G40" i="1"/>
  <c r="C40" i="1"/>
  <c r="G31" i="1"/>
  <c r="C31" i="1"/>
  <c r="C22" i="1"/>
  <c r="C14" i="1"/>
  <c r="C6" i="1"/>
  <c r="B157" i="7" l="1"/>
  <c r="B159" i="7" s="1"/>
  <c r="E49" i="6"/>
</calcChain>
</file>

<file path=xl/sharedStrings.xml><?xml version="1.0" encoding="utf-8"?>
<sst xmlns="http://schemas.openxmlformats.org/spreadsheetml/2006/main" count="473" uniqueCount="254">
  <si>
    <t>i</t>
  </si>
  <si>
    <t>i =</t>
  </si>
  <si>
    <t>PV =</t>
  </si>
  <si>
    <t>N</t>
  </si>
  <si>
    <t>N=</t>
  </si>
  <si>
    <t>JUROS SIMPLES</t>
  </si>
  <si>
    <t>M=</t>
  </si>
  <si>
    <t>FV</t>
  </si>
  <si>
    <t>FV=</t>
  </si>
  <si>
    <t>PV=</t>
  </si>
  <si>
    <t>dias</t>
  </si>
  <si>
    <t>anos</t>
  </si>
  <si>
    <t>%a.a.</t>
  </si>
  <si>
    <t>%a.m</t>
  </si>
  <si>
    <t>J=</t>
  </si>
  <si>
    <t>JUROS COMPOSTOS</t>
  </si>
  <si>
    <t>meses</t>
  </si>
  <si>
    <t>NA HP</t>
  </si>
  <si>
    <t xml:space="preserve">FV=&gt; </t>
  </si>
  <si>
    <t>CHS PV</t>
  </si>
  <si>
    <t>n</t>
  </si>
  <si>
    <t>CHS FV</t>
  </si>
  <si>
    <t>I=</t>
  </si>
  <si>
    <t>i =&gt;</t>
  </si>
  <si>
    <t>P1=</t>
  </si>
  <si>
    <t>P2=</t>
  </si>
  <si>
    <t>P3=</t>
  </si>
  <si>
    <t>i=</t>
  </si>
  <si>
    <t>VP(HOJE)=</t>
  </si>
  <si>
    <t>VP(+7M)=</t>
  </si>
  <si>
    <t>Entrada=</t>
  </si>
  <si>
    <t>Capital=</t>
  </si>
  <si>
    <t>% APLIC.</t>
  </si>
  <si>
    <t>prazo</t>
  </si>
  <si>
    <t>Juros</t>
  </si>
  <si>
    <t>Tot. Juros</t>
  </si>
  <si>
    <t>TAXA EQUIVALENTES</t>
  </si>
  <si>
    <t>taxa</t>
  </si>
  <si>
    <t>mês</t>
  </si>
  <si>
    <t>dia</t>
  </si>
  <si>
    <t>trimestre</t>
  </si>
  <si>
    <t>semestre</t>
  </si>
  <si>
    <t>20 dias</t>
  </si>
  <si>
    <t>prazo 1</t>
  </si>
  <si>
    <t>=&gt;</t>
  </si>
  <si>
    <t>prazo 2</t>
  </si>
  <si>
    <t>ano</t>
  </si>
  <si>
    <t>23dias</t>
  </si>
  <si>
    <t>taxa 1</t>
  </si>
  <si>
    <t>taxa 2</t>
  </si>
  <si>
    <t>quadrimestre</t>
  </si>
  <si>
    <t>5 meses</t>
  </si>
  <si>
    <t>10 meses</t>
  </si>
  <si>
    <t>7 meses</t>
  </si>
  <si>
    <t>9 meses</t>
  </si>
  <si>
    <t>37 dias</t>
  </si>
  <si>
    <t>100 dias</t>
  </si>
  <si>
    <t>VF =</t>
  </si>
  <si>
    <t xml:space="preserve">prazo 1 = </t>
  </si>
  <si>
    <t>prazo 2 =</t>
  </si>
  <si>
    <t xml:space="preserve">VF = </t>
  </si>
  <si>
    <t xml:space="preserve">i = </t>
  </si>
  <si>
    <t>NÃO É INTERESSANTE ATROCA DE TÍTULOS</t>
  </si>
  <si>
    <t>D1=</t>
  </si>
  <si>
    <t>D2=</t>
  </si>
  <si>
    <t>D3=</t>
  </si>
  <si>
    <t>valor</t>
  </si>
  <si>
    <t>prazo (mês)</t>
  </si>
  <si>
    <t>VP</t>
  </si>
  <si>
    <t>Anuidades</t>
  </si>
  <si>
    <t>PMT</t>
  </si>
  <si>
    <t>ENTRADA</t>
  </si>
  <si>
    <t>prazo=</t>
  </si>
  <si>
    <t>À VISTA</t>
  </si>
  <si>
    <t>PMT=</t>
  </si>
  <si>
    <t>PV(0)=</t>
  </si>
  <si>
    <t>FV(3)=</t>
  </si>
  <si>
    <t>FV(2)=</t>
  </si>
  <si>
    <t>lista 5</t>
  </si>
  <si>
    <t>1.</t>
  </si>
  <si>
    <t>Ano 0</t>
  </si>
  <si>
    <t>Ano 1</t>
  </si>
  <si>
    <t>Ano 2</t>
  </si>
  <si>
    <t>Ano 3</t>
  </si>
  <si>
    <t>Ano 4</t>
  </si>
  <si>
    <t>Ano 5</t>
  </si>
  <si>
    <t>tir =</t>
  </si>
  <si>
    <t>vpl(15%)</t>
  </si>
  <si>
    <t>2.</t>
  </si>
  <si>
    <t>tir</t>
  </si>
  <si>
    <t>3.</t>
  </si>
  <si>
    <t>Ano</t>
  </si>
  <si>
    <t>Projeto X</t>
  </si>
  <si>
    <t>Projeto W</t>
  </si>
  <si>
    <t>4.</t>
  </si>
  <si>
    <t>Determinar o VPL dos seguintes fluxos:</t>
  </si>
  <si>
    <t>a)</t>
  </si>
  <si>
    <t>Fluxo</t>
  </si>
  <si>
    <t>Taxa de Atratividade</t>
  </si>
  <si>
    <t>VPL</t>
  </si>
  <si>
    <t>b)</t>
  </si>
  <si>
    <t>c)</t>
  </si>
  <si>
    <t xml:space="preserve">5. </t>
  </si>
  <si>
    <t>Alternativa  a</t>
  </si>
  <si>
    <t>taxa mínima de atratividade</t>
  </si>
  <si>
    <t>VPL A</t>
  </si>
  <si>
    <t>VPL b</t>
  </si>
  <si>
    <t>6.</t>
  </si>
  <si>
    <t>Estrutura A</t>
  </si>
  <si>
    <t>fluxo</t>
  </si>
  <si>
    <t>Vp</t>
  </si>
  <si>
    <t>Vp total</t>
  </si>
  <si>
    <t>Estrutura b</t>
  </si>
  <si>
    <t>taxa de desconto</t>
  </si>
  <si>
    <t>Desconto</t>
  </si>
  <si>
    <t>1. desconto por dentro</t>
  </si>
  <si>
    <t>Dd=</t>
  </si>
  <si>
    <t>n*i*Co</t>
  </si>
  <si>
    <t>Co</t>
  </si>
  <si>
    <t>C</t>
  </si>
  <si>
    <t>2. desconto por fora</t>
  </si>
  <si>
    <t>Df=</t>
  </si>
  <si>
    <t>n*d*C</t>
  </si>
  <si>
    <t>Df</t>
  </si>
  <si>
    <t>Dd</t>
  </si>
  <si>
    <t>d</t>
  </si>
  <si>
    <t>aa</t>
  </si>
  <si>
    <t>Df+ Dd</t>
  </si>
  <si>
    <t>n * i* C0(1+in)</t>
  </si>
  <si>
    <t>Dd(1+in)</t>
  </si>
  <si>
    <t>Dd+Df</t>
  </si>
  <si>
    <t>Dd(1+in) + Dd</t>
  </si>
  <si>
    <t>1+in</t>
  </si>
  <si>
    <t>Dd(1,05)+Dd</t>
  </si>
  <si>
    <t>2,05Dd</t>
  </si>
  <si>
    <t>0,5*10%*C</t>
  </si>
  <si>
    <t>0,05 C</t>
  </si>
  <si>
    <t>Df1</t>
  </si>
  <si>
    <t>n1*d*C</t>
  </si>
  <si>
    <t>Df2</t>
  </si>
  <si>
    <t>n2*d*C2</t>
  </si>
  <si>
    <t>n1</t>
  </si>
  <si>
    <t>n2</t>
  </si>
  <si>
    <t>C2</t>
  </si>
  <si>
    <t>1,5 C</t>
  </si>
  <si>
    <t>Df1+DF2</t>
  </si>
  <si>
    <t>0,15*0,75*C</t>
  </si>
  <si>
    <t>0,15*0,444*1,5 C</t>
  </si>
  <si>
    <t>5&gt;</t>
  </si>
  <si>
    <t>Df- Dd</t>
  </si>
  <si>
    <t>Df-Dd</t>
  </si>
  <si>
    <t>Dd X i X n</t>
  </si>
  <si>
    <t>Df/(n*d)</t>
  </si>
  <si>
    <t>tempo remanescente</t>
  </si>
  <si>
    <t>Valor financiado</t>
  </si>
  <si>
    <t>seguro</t>
  </si>
  <si>
    <t>tac</t>
  </si>
  <si>
    <t>valor total</t>
  </si>
  <si>
    <t>pmt</t>
  </si>
  <si>
    <t>resolver utilizando o conceito de tir</t>
  </si>
  <si>
    <t>total</t>
  </si>
  <si>
    <t>E =</t>
  </si>
  <si>
    <t>t iof</t>
  </si>
  <si>
    <t>tarifa de abertura de crédito</t>
  </si>
  <si>
    <t xml:space="preserve">Desconto </t>
  </si>
  <si>
    <t>E x t x n+ E x d X n +E X tac</t>
  </si>
  <si>
    <t>IoF</t>
  </si>
  <si>
    <t>E x t x n</t>
  </si>
  <si>
    <t>100000X 0,123%X 3</t>
  </si>
  <si>
    <t>Juro bancário</t>
  </si>
  <si>
    <t>E x dX n</t>
  </si>
  <si>
    <t>100000X 10% X 3</t>
  </si>
  <si>
    <t>TAC</t>
  </si>
  <si>
    <t>E X TAC</t>
  </si>
  <si>
    <t>100000X1%</t>
  </si>
  <si>
    <t>Eef</t>
  </si>
  <si>
    <t>E- D</t>
  </si>
  <si>
    <t>31369/68631</t>
  </si>
  <si>
    <t>i mensal</t>
  </si>
  <si>
    <t xml:space="preserve">6. </t>
  </si>
  <si>
    <t>CDB pre</t>
  </si>
  <si>
    <t>CDB pós</t>
  </si>
  <si>
    <t>juro real</t>
  </si>
  <si>
    <t>1 + taxa efetiva</t>
  </si>
  <si>
    <t>(1+atualização monetária)X(1+juro real)</t>
  </si>
  <si>
    <t>(1+atualização monetária)X(1,06)</t>
  </si>
  <si>
    <t>atualização monetária</t>
  </si>
  <si>
    <t xml:space="preserve">7. </t>
  </si>
  <si>
    <t>Data</t>
  </si>
  <si>
    <t>Movimento</t>
  </si>
  <si>
    <t>Valor</t>
  </si>
  <si>
    <t>Saldo final</t>
  </si>
  <si>
    <t>01-XX-X1</t>
  </si>
  <si>
    <t>03-XX-X1</t>
  </si>
  <si>
    <t>Cheque depositado</t>
  </si>
  <si>
    <t>R$1500,00</t>
  </si>
  <si>
    <t>-R$500,00</t>
  </si>
  <si>
    <t>10-XX-X1</t>
  </si>
  <si>
    <t>Depósito recebido</t>
  </si>
  <si>
    <t>-R$300,00</t>
  </si>
  <si>
    <t>15-XX-X1</t>
  </si>
  <si>
    <t>Cheque Depositado</t>
  </si>
  <si>
    <t>22-XX-X1</t>
  </si>
  <si>
    <t>-R$4000,00</t>
  </si>
  <si>
    <t>25-XX-X1</t>
  </si>
  <si>
    <t>Transferência</t>
  </si>
  <si>
    <t>-R$5000,00</t>
  </si>
  <si>
    <t>intervalos</t>
  </si>
  <si>
    <t>saldo</t>
  </si>
  <si>
    <t>juros</t>
  </si>
  <si>
    <t>3 a 9</t>
  </si>
  <si>
    <t>10 a 14</t>
  </si>
  <si>
    <t>15 a 21</t>
  </si>
  <si>
    <t>22 a 24</t>
  </si>
  <si>
    <t>25 a 30</t>
  </si>
  <si>
    <t>8.</t>
  </si>
  <si>
    <t>Mês</t>
  </si>
  <si>
    <t>retorno</t>
  </si>
  <si>
    <t>IR</t>
  </si>
  <si>
    <t>vrb</t>
  </si>
  <si>
    <t>valor de resg liquido</t>
  </si>
  <si>
    <t>9.</t>
  </si>
  <si>
    <t>1o. Passo - achar a taxa</t>
  </si>
  <si>
    <t>Pu</t>
  </si>
  <si>
    <t>a. PU na curva no quarto dia útil ( 3 decorridos)</t>
  </si>
  <si>
    <t>PU 4o. Dia</t>
  </si>
  <si>
    <t>b PU na curva no décimo  segundo dia útil(11 decorridos)</t>
  </si>
  <si>
    <t>PU 10. dia</t>
  </si>
  <si>
    <t xml:space="preserve">c. Taxa de mercado no 12o. Dia </t>
  </si>
  <si>
    <t>PU 10 dia (mercado)</t>
  </si>
  <si>
    <t>d. rentabilidade  inicial</t>
  </si>
  <si>
    <t xml:space="preserve">e. </t>
  </si>
  <si>
    <t>rentabilidade</t>
  </si>
  <si>
    <t>10.</t>
  </si>
  <si>
    <t>ltn 1o. Mês</t>
  </si>
  <si>
    <t>du</t>
  </si>
  <si>
    <t>ltn 2o. Mês</t>
  </si>
  <si>
    <t>a. Taxa efetiva no 1o. Mês</t>
  </si>
  <si>
    <t>b. taxa de inflação esperada</t>
  </si>
  <si>
    <t>taxa de juro real no 1o. Mês</t>
  </si>
  <si>
    <t>(1+i)=(1+inflação)*(1+r)</t>
  </si>
  <si>
    <t>inflação esperada</t>
  </si>
  <si>
    <t xml:space="preserve">c. </t>
  </si>
  <si>
    <t>fator</t>
  </si>
  <si>
    <t>taxa do 1o. Mês</t>
  </si>
  <si>
    <t>ndu</t>
  </si>
  <si>
    <t>taxa dos dois meses</t>
  </si>
  <si>
    <t>taxa do 2o mês</t>
  </si>
  <si>
    <t>taxa média</t>
  </si>
  <si>
    <t>É viável</t>
  </si>
  <si>
    <t>vpl - 12%</t>
  </si>
  <si>
    <t>Projeto escolhido W</t>
  </si>
  <si>
    <t>Alternativa  b</t>
  </si>
  <si>
    <t>&lt;= melhor alternativa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</si>
</sst>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&quot;R$ &quot;#,##0.00_);[Red]\(&quot;R$ &quot;#,##0.00\)"/>
    <numFmt numFmtId="167" formatCode="_(* #,##0.00000_);_(* \(#,##0.00000\);_(* &quot;-&quot;??_);_(@_)"/>
    <numFmt numFmtId="168" formatCode="_(* #,##0.00000_);_(* \(#,##0.00000\);_(* &quot;-&quot;?????_);_(@_)"/>
    <numFmt numFmtId="169" formatCode="_(* #,##0_);_(* \(#,##0\);_(* &quot;-&quot;??_);_(@_)"/>
  </numFmts>
  <fonts count="11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43" fontId="2" fillId="2" borderId="0" xfId="1" applyFont="1" applyFill="1" applyAlignment="1">
      <alignment horizontal="center"/>
    </xf>
    <xf numFmtId="43" fontId="2" fillId="2" borderId="0" xfId="1" applyFont="1" applyFill="1"/>
    <xf numFmtId="0" fontId="2" fillId="0" borderId="0" xfId="0" applyFont="1"/>
    <xf numFmtId="8" fontId="2" fillId="2" borderId="0" xfId="1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0" borderId="0" xfId="0" applyNumberFormat="1"/>
    <xf numFmtId="0" fontId="0" fillId="0" borderId="0" xfId="0" quotePrefix="1"/>
    <xf numFmtId="164" fontId="0" fillId="0" borderId="0" xfId="1" applyNumberFormat="1" applyFont="1"/>
    <xf numFmtId="8" fontId="0" fillId="0" borderId="0" xfId="0" applyNumberFormat="1"/>
    <xf numFmtId="8" fontId="0" fillId="2" borderId="0" xfId="0" applyNumberFormat="1" applyFill="1"/>
    <xf numFmtId="8" fontId="0" fillId="2" borderId="0" xfId="1" applyNumberFormat="1" applyFont="1" applyFill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5" fontId="4" fillId="0" borderId="0" xfId="1" applyNumberFormat="1" applyFont="1"/>
    <xf numFmtId="165" fontId="0" fillId="0" borderId="0" xfId="0" applyNumberFormat="1"/>
    <xf numFmtId="3" fontId="3" fillId="0" borderId="3" xfId="0" applyNumberFormat="1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167" fontId="4" fillId="0" borderId="0" xfId="1" applyNumberFormat="1" applyFont="1"/>
    <xf numFmtId="168" fontId="0" fillId="0" borderId="0" xfId="0" applyNumberFormat="1"/>
    <xf numFmtId="0" fontId="0" fillId="0" borderId="5" xfId="0" applyBorder="1"/>
    <xf numFmtId="9" fontId="0" fillId="0" borderId="0" xfId="0" applyNumberFormat="1"/>
    <xf numFmtId="0" fontId="0" fillId="0" borderId="0" xfId="0" applyBorder="1"/>
    <xf numFmtId="169" fontId="4" fillId="0" borderId="5" xfId="1" applyNumberFormat="1" applyFont="1" applyBorder="1"/>
    <xf numFmtId="0" fontId="0" fillId="2" borderId="0" xfId="0" applyFill="1" applyAlignment="1">
      <alignment horizontal="right"/>
    </xf>
    <xf numFmtId="10" fontId="0" fillId="2" borderId="0" xfId="0" applyNumberFormat="1" applyFill="1"/>
    <xf numFmtId="166" fontId="4" fillId="2" borderId="0" xfId="1" applyNumberFormat="1" applyFont="1" applyFill="1"/>
    <xf numFmtId="165" fontId="4" fillId="2" borderId="0" xfId="1" applyNumberFormat="1" applyFont="1" applyFill="1"/>
    <xf numFmtId="10" fontId="4" fillId="2" borderId="0" xfId="2" applyNumberFormat="1" applyFont="1" applyFill="1"/>
    <xf numFmtId="0" fontId="8" fillId="0" borderId="0" xfId="0" applyFont="1"/>
    <xf numFmtId="9" fontId="8" fillId="0" borderId="0" xfId="0" applyNumberFormat="1" applyFont="1"/>
    <xf numFmtId="0" fontId="9" fillId="0" borderId="0" xfId="3" applyFont="1" applyAlignment="1" applyProtection="1"/>
    <xf numFmtId="43" fontId="8" fillId="0" borderId="0" xfId="1" applyFont="1"/>
    <xf numFmtId="43" fontId="10" fillId="0" borderId="0" xfId="1" applyFont="1"/>
    <xf numFmtId="43" fontId="3" fillId="0" borderId="2" xfId="1" applyFont="1" applyBorder="1" applyAlignment="1">
      <alignment vertical="top" wrapText="1"/>
    </xf>
    <xf numFmtId="43" fontId="3" fillId="0" borderId="4" xfId="1" applyFont="1" applyBorder="1" applyAlignment="1">
      <alignment vertical="top" wrapText="1"/>
    </xf>
    <xf numFmtId="43" fontId="7" fillId="0" borderId="0" xfId="1" applyFont="1" applyAlignment="1">
      <alignment horizontal="left" indent="4"/>
    </xf>
    <xf numFmtId="43" fontId="3" fillId="0" borderId="1" xfId="1" applyFont="1" applyBorder="1" applyAlignment="1">
      <alignment vertical="top" wrapText="1"/>
    </xf>
    <xf numFmtId="43" fontId="6" fillId="0" borderId="0" xfId="1" applyFont="1" applyBorder="1" applyAlignment="1">
      <alignment vertical="top" wrapText="1"/>
    </xf>
    <xf numFmtId="43" fontId="8" fillId="0" borderId="0" xfId="1" applyFont="1" applyBorder="1"/>
    <xf numFmtId="43" fontId="3" fillId="0" borderId="3" xfId="1" applyFont="1" applyBorder="1" applyAlignment="1">
      <alignment vertical="top" wrapText="1"/>
    </xf>
    <xf numFmtId="43" fontId="6" fillId="0" borderId="0" xfId="1" applyFont="1" applyBorder="1" applyAlignment="1">
      <alignment horizontal="right" vertical="top" wrapText="1"/>
    </xf>
    <xf numFmtId="43" fontId="3" fillId="0" borderId="0" xfId="1" applyFont="1" applyAlignment="1">
      <alignment horizontal="left" indent="2"/>
    </xf>
    <xf numFmtId="43" fontId="7" fillId="0" borderId="0" xfId="1" applyFont="1"/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'[1]lista 7.'!$G$164:$G$186</c:f>
              <c:numCache>
                <c:formatCode>General</c:formatCode>
                <c:ptCount val="23"/>
                <c:pt idx="0">
                  <c:v>991.71407499999998</c:v>
                </c:pt>
                <c:pt idx="1">
                  <c:v>992.10708151845506</c:v>
                </c:pt>
                <c:pt idx="2">
                  <c:v>992.50024378152193</c:v>
                </c:pt>
                <c:pt idx="3">
                  <c:v>992.89356185092049</c:v>
                </c:pt>
                <c:pt idx="4">
                  <c:v>993.28703578839543</c:v>
                </c:pt>
                <c:pt idx="5">
                  <c:v>993.68066565571564</c:v>
                </c:pt>
                <c:pt idx="6">
                  <c:v>994.07445151467459</c:v>
                </c:pt>
                <c:pt idx="7">
                  <c:v>994.46839342709018</c:v>
                </c:pt>
                <c:pt idx="8">
                  <c:v>994.86249145480485</c:v>
                </c:pt>
                <c:pt idx="9">
                  <c:v>995.25674565968563</c:v>
                </c:pt>
                <c:pt idx="10">
                  <c:v>995.65115610362398</c:v>
                </c:pt>
                <c:pt idx="11">
                  <c:v>996.04572284853589</c:v>
                </c:pt>
                <c:pt idx="12">
                  <c:v>996.44044595636194</c:v>
                </c:pt>
                <c:pt idx="13">
                  <c:v>996.83532548906715</c:v>
                </c:pt>
                <c:pt idx="14">
                  <c:v>997.23036150864118</c:v>
                </c:pt>
                <c:pt idx="15">
                  <c:v>997.62555407709817</c:v>
                </c:pt>
                <c:pt idx="16">
                  <c:v>998.02090325647703</c:v>
                </c:pt>
                <c:pt idx="17">
                  <c:v>998.41640910884098</c:v>
                </c:pt>
                <c:pt idx="18">
                  <c:v>998.81207169627805</c:v>
                </c:pt>
                <c:pt idx="19">
                  <c:v>999.20789108090082</c:v>
                </c:pt>
                <c:pt idx="20">
                  <c:v>999.60386732484653</c:v>
                </c:pt>
                <c:pt idx="21">
                  <c:v>1000.0000004902769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66304"/>
        <c:axId val="122872192"/>
      </c:lineChart>
      <c:catAx>
        <c:axId val="1228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2872192"/>
        <c:crosses val="autoZero"/>
        <c:auto val="1"/>
        <c:lblAlgn val="ctr"/>
        <c:lblOffset val="100"/>
        <c:noMultiLvlLbl val="0"/>
      </c:catAx>
      <c:valAx>
        <c:axId val="12287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286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1000125</xdr:colOff>
      <xdr:row>166</xdr:row>
      <xdr:rowOff>19050</xdr:rowOff>
    </xdr:from>
    <xdr:to>
      <xdr:col>13</xdr:col>
      <xdr:colOff>142875</xdr:colOff>
      <xdr:row>183</xdr:row>
      <xdr:rowOff>9525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GV_Faria%20LIma\lista%20de%20exerc&#237;cios-respo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1"/>
      <sheetName val="lista2"/>
      <sheetName val="lista 3 "/>
      <sheetName val="lista 4"/>
      <sheetName val="lista5"/>
      <sheetName val="lista 6"/>
      <sheetName val="lista 7."/>
      <sheetName val="equivalenciafinanceira jsimp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4">
          <cell r="G164">
            <v>991.71407499999998</v>
          </cell>
        </row>
        <row r="165">
          <cell r="G165">
            <v>992.10708151845506</v>
          </cell>
        </row>
        <row r="166">
          <cell r="G166">
            <v>992.50024378152193</v>
          </cell>
        </row>
        <row r="167">
          <cell r="G167">
            <v>992.89356185092049</v>
          </cell>
        </row>
        <row r="168">
          <cell r="G168">
            <v>993.28703578839543</v>
          </cell>
        </row>
        <row r="169">
          <cell r="G169">
            <v>993.68066565571564</v>
          </cell>
        </row>
        <row r="170">
          <cell r="G170">
            <v>994.07445151467459</v>
          </cell>
        </row>
        <row r="171">
          <cell r="G171">
            <v>994.46839342709018</v>
          </cell>
        </row>
        <row r="172">
          <cell r="G172">
            <v>994.86249145480485</v>
          </cell>
        </row>
        <row r="173">
          <cell r="G173">
            <v>995.25674565968563</v>
          </cell>
        </row>
        <row r="174">
          <cell r="G174">
            <v>995.65115610362398</v>
          </cell>
        </row>
        <row r="175">
          <cell r="G175">
            <v>996.04572284853589</v>
          </cell>
        </row>
        <row r="176">
          <cell r="G176">
            <v>996.44044595636194</v>
          </cell>
        </row>
        <row r="177">
          <cell r="G177">
            <v>996.83532548906715</v>
          </cell>
        </row>
        <row r="178">
          <cell r="G178">
            <v>997.23036150864118</v>
          </cell>
        </row>
        <row r="179">
          <cell r="G179">
            <v>997.62555407709817</v>
          </cell>
        </row>
        <row r="180">
          <cell r="G180">
            <v>998.02090325647703</v>
          </cell>
        </row>
        <row r="181">
          <cell r="G181">
            <v>998.41640910884098</v>
          </cell>
        </row>
        <row r="182">
          <cell r="G182">
            <v>998.81207169627805</v>
          </cell>
        </row>
        <row r="183">
          <cell r="G183">
            <v>999.20789108090082</v>
          </cell>
        </row>
        <row r="184">
          <cell r="G184">
            <v>999.60386732484653</v>
          </cell>
        </row>
        <row r="185">
          <cell r="G185">
            <v>1000.0000004902769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f1+DF@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20" workbookViewId="0">
      <selection activeCell="B59" sqref="B59:C59"/>
    </sheetView>
  </sheetViews>
  <sheetFormatPr defaultRowHeight="12.75" x14ac:dyDescent="0.2"/>
  <cols>
    <col min="3" max="3" width="11.6640625" bestFit="1" customWidth="1"/>
    <col min="7" max="7" width="18.5" bestFit="1" customWidth="1"/>
  </cols>
  <sheetData>
    <row r="1" spans="1:4" x14ac:dyDescent="0.2">
      <c r="A1">
        <v>1</v>
      </c>
      <c r="B1" t="s">
        <v>5</v>
      </c>
    </row>
    <row r="2" spans="1:4" x14ac:dyDescent="0.2">
      <c r="B2" s="1" t="s">
        <v>1</v>
      </c>
      <c r="C2" s="1">
        <v>9</v>
      </c>
      <c r="D2" t="s">
        <v>12</v>
      </c>
    </row>
    <row r="3" spans="1:4" x14ac:dyDescent="0.2">
      <c r="B3" s="1" t="s">
        <v>2</v>
      </c>
      <c r="C3" s="1">
        <v>20000</v>
      </c>
    </row>
    <row r="4" spans="1:4" x14ac:dyDescent="0.2">
      <c r="B4" s="1" t="s">
        <v>4</v>
      </c>
      <c r="C4" s="1">
        <v>5</v>
      </c>
      <c r="D4" t="s">
        <v>11</v>
      </c>
    </row>
    <row r="6" spans="1:4" x14ac:dyDescent="0.2">
      <c r="B6" s="3" t="s">
        <v>6</v>
      </c>
      <c r="C6" s="3">
        <f>(C4*C2/100+1)*C3</f>
        <v>29000</v>
      </c>
    </row>
    <row r="9" spans="1:4" x14ac:dyDescent="0.2">
      <c r="A9">
        <v>2</v>
      </c>
      <c r="B9" t="s">
        <v>5</v>
      </c>
    </row>
    <row r="10" spans="1:4" x14ac:dyDescent="0.2">
      <c r="B10" s="1" t="s">
        <v>1</v>
      </c>
      <c r="C10" s="1">
        <v>2</v>
      </c>
      <c r="D10" t="s">
        <v>12</v>
      </c>
    </row>
    <row r="11" spans="1:4" x14ac:dyDescent="0.2">
      <c r="B11" s="1" t="s">
        <v>8</v>
      </c>
      <c r="C11" s="1">
        <v>100000</v>
      </c>
    </row>
    <row r="12" spans="1:4" x14ac:dyDescent="0.2">
      <c r="B12" s="1" t="s">
        <v>4</v>
      </c>
      <c r="C12" s="1">
        <v>2</v>
      </c>
      <c r="D12" t="s">
        <v>11</v>
      </c>
    </row>
    <row r="14" spans="1:4" x14ac:dyDescent="0.2">
      <c r="B14" s="3" t="s">
        <v>9</v>
      </c>
      <c r="C14" s="3">
        <f>C11/(C12*C10/100+1)</f>
        <v>96153.846153846156</v>
      </c>
    </row>
    <row r="16" spans="1:4" x14ac:dyDescent="0.2">
      <c r="A16">
        <v>3</v>
      </c>
      <c r="B16" t="s">
        <v>5</v>
      </c>
    </row>
    <row r="18" spans="1:7" x14ac:dyDescent="0.2">
      <c r="B18" s="1" t="s">
        <v>1</v>
      </c>
      <c r="C18" s="1">
        <v>3</v>
      </c>
      <c r="D18" t="s">
        <v>13</v>
      </c>
    </row>
    <row r="19" spans="1:7" x14ac:dyDescent="0.2">
      <c r="B19" s="1" t="s">
        <v>9</v>
      </c>
      <c r="C19" s="1">
        <v>50000</v>
      </c>
    </row>
    <row r="20" spans="1:7" x14ac:dyDescent="0.2">
      <c r="B20" s="1" t="s">
        <v>4</v>
      </c>
      <c r="C20" s="1">
        <v>4</v>
      </c>
      <c r="D20" t="s">
        <v>10</v>
      </c>
    </row>
    <row r="22" spans="1:7" x14ac:dyDescent="0.2">
      <c r="B22" s="3" t="s">
        <v>14</v>
      </c>
      <c r="C22" s="4">
        <f>C18/100*C20/30*C19</f>
        <v>200</v>
      </c>
    </row>
    <row r="25" spans="1:7" x14ac:dyDescent="0.2">
      <c r="A25">
        <v>4</v>
      </c>
      <c r="B25" t="s">
        <v>15</v>
      </c>
    </row>
    <row r="26" spans="1:7" x14ac:dyDescent="0.2">
      <c r="F26" s="5" t="s">
        <v>17</v>
      </c>
    </row>
    <row r="27" spans="1:7" x14ac:dyDescent="0.2">
      <c r="B27" s="1" t="s">
        <v>1</v>
      </c>
      <c r="C27" s="1">
        <v>10</v>
      </c>
      <c r="D27" t="s">
        <v>13</v>
      </c>
      <c r="F27">
        <f>C27</f>
        <v>10</v>
      </c>
      <c r="G27" t="s">
        <v>0</v>
      </c>
    </row>
    <row r="28" spans="1:7" x14ac:dyDescent="0.2">
      <c r="B28" s="1" t="s">
        <v>9</v>
      </c>
      <c r="C28" s="1">
        <v>20000</v>
      </c>
      <c r="F28">
        <f>C28</f>
        <v>20000</v>
      </c>
      <c r="G28" t="s">
        <v>19</v>
      </c>
    </row>
    <row r="29" spans="1:7" x14ac:dyDescent="0.2">
      <c r="B29" s="1" t="s">
        <v>4</v>
      </c>
      <c r="C29" s="1">
        <v>4</v>
      </c>
      <c r="D29" t="s">
        <v>16</v>
      </c>
      <c r="F29">
        <f>C29</f>
        <v>4</v>
      </c>
      <c r="G29" t="s">
        <v>20</v>
      </c>
    </row>
    <row r="31" spans="1:7" x14ac:dyDescent="0.2">
      <c r="B31" s="3" t="s">
        <v>6</v>
      </c>
      <c r="C31" s="3">
        <f>(C27/100+1)^(C29)*C28</f>
        <v>29282.000000000007</v>
      </c>
      <c r="F31" t="s">
        <v>18</v>
      </c>
      <c r="G31" s="6">
        <f>FV(C27/100,C29,,-C28)</f>
        <v>29282.000000000007</v>
      </c>
    </row>
    <row r="34" spans="1:7" x14ac:dyDescent="0.2">
      <c r="A34">
        <v>5</v>
      </c>
      <c r="B34" t="s">
        <v>15</v>
      </c>
    </row>
    <row r="35" spans="1:7" x14ac:dyDescent="0.2">
      <c r="F35" s="5" t="s">
        <v>17</v>
      </c>
    </row>
    <row r="36" spans="1:7" x14ac:dyDescent="0.2">
      <c r="B36" s="1" t="s">
        <v>1</v>
      </c>
      <c r="C36" s="1">
        <v>8</v>
      </c>
      <c r="D36" t="s">
        <v>13</v>
      </c>
      <c r="F36">
        <f>C36</f>
        <v>8</v>
      </c>
      <c r="G36" t="s">
        <v>0</v>
      </c>
    </row>
    <row r="37" spans="1:7" x14ac:dyDescent="0.2">
      <c r="B37" s="1" t="s">
        <v>8</v>
      </c>
      <c r="C37" s="1">
        <v>30000</v>
      </c>
      <c r="F37">
        <f>C37</f>
        <v>30000</v>
      </c>
      <c r="G37" t="s">
        <v>21</v>
      </c>
    </row>
    <row r="38" spans="1:7" x14ac:dyDescent="0.2">
      <c r="B38" s="1" t="s">
        <v>4</v>
      </c>
      <c r="C38" s="1">
        <v>5</v>
      </c>
      <c r="D38" t="s">
        <v>16</v>
      </c>
      <c r="F38">
        <f>C38</f>
        <v>5</v>
      </c>
      <c r="G38" t="s">
        <v>20</v>
      </c>
    </row>
    <row r="40" spans="1:7" x14ac:dyDescent="0.2">
      <c r="B40" s="3" t="s">
        <v>6</v>
      </c>
      <c r="C40" s="3">
        <f>C37/(C36/100+1)^(C38)</f>
        <v>20417.495911012589</v>
      </c>
      <c r="F40" t="s">
        <v>18</v>
      </c>
      <c r="G40" s="6">
        <f>PV(C36/100,C38,,-C37)</f>
        <v>20417.495911012589</v>
      </c>
    </row>
    <row r="43" spans="1:7" x14ac:dyDescent="0.2">
      <c r="A43">
        <v>6</v>
      </c>
      <c r="B43" t="s">
        <v>15</v>
      </c>
    </row>
    <row r="44" spans="1:7" x14ac:dyDescent="0.2">
      <c r="F44" s="5" t="s">
        <v>17</v>
      </c>
    </row>
    <row r="45" spans="1:7" x14ac:dyDescent="0.2">
      <c r="B45" s="1" t="s">
        <v>1</v>
      </c>
      <c r="C45" s="1">
        <v>4</v>
      </c>
      <c r="D45" t="s">
        <v>13</v>
      </c>
      <c r="F45">
        <f>C45</f>
        <v>4</v>
      </c>
      <c r="G45" t="s">
        <v>0</v>
      </c>
    </row>
    <row r="46" spans="1:7" x14ac:dyDescent="0.2">
      <c r="B46" s="1" t="s">
        <v>9</v>
      </c>
      <c r="C46" s="1">
        <v>60000</v>
      </c>
      <c r="F46">
        <f>C46</f>
        <v>60000</v>
      </c>
      <c r="G46" t="s">
        <v>19</v>
      </c>
    </row>
    <row r="47" spans="1:7" x14ac:dyDescent="0.2">
      <c r="B47" s="1" t="s">
        <v>4</v>
      </c>
      <c r="C47" s="1">
        <v>81</v>
      </c>
      <c r="D47" t="s">
        <v>10</v>
      </c>
      <c r="F47">
        <f>C47/30</f>
        <v>2.7</v>
      </c>
      <c r="G47" t="s">
        <v>20</v>
      </c>
    </row>
    <row r="49" spans="1:7" x14ac:dyDescent="0.2">
      <c r="B49" s="3" t="s">
        <v>6</v>
      </c>
      <c r="C49" s="3">
        <f>(C45/100+1)^(C47/30)*C46</f>
        <v>66702.370214231618</v>
      </c>
      <c r="F49" t="s">
        <v>18</v>
      </c>
      <c r="G49" s="6">
        <f>FV(F45/100,F47,,-F46)</f>
        <v>66702.370214231618</v>
      </c>
    </row>
    <row r="52" spans="1:7" x14ac:dyDescent="0.2">
      <c r="A52">
        <v>7</v>
      </c>
      <c r="B52" t="s">
        <v>15</v>
      </c>
    </row>
    <row r="53" spans="1:7" x14ac:dyDescent="0.2">
      <c r="F53" s="5" t="s">
        <v>17</v>
      </c>
    </row>
    <row r="54" spans="1:7" x14ac:dyDescent="0.2">
      <c r="B54" s="1"/>
      <c r="C54" s="1"/>
    </row>
    <row r="55" spans="1:7" x14ac:dyDescent="0.2">
      <c r="B55" s="1" t="s">
        <v>9</v>
      </c>
      <c r="C55" s="1">
        <v>40000</v>
      </c>
      <c r="F55">
        <f>-C55</f>
        <v>-40000</v>
      </c>
      <c r="G55" t="s">
        <v>19</v>
      </c>
    </row>
    <row r="56" spans="1:7" x14ac:dyDescent="0.2">
      <c r="B56" s="1" t="s">
        <v>4</v>
      </c>
      <c r="C56" s="1">
        <v>68</v>
      </c>
      <c r="D56" t="s">
        <v>10</v>
      </c>
      <c r="F56">
        <f>68/30</f>
        <v>2.2666666666666666</v>
      </c>
      <c r="G56" t="s">
        <v>20</v>
      </c>
    </row>
    <row r="57" spans="1:7" x14ac:dyDescent="0.2">
      <c r="B57" s="1" t="s">
        <v>8</v>
      </c>
      <c r="C57" s="1">
        <v>55700</v>
      </c>
      <c r="F57">
        <v>55700</v>
      </c>
      <c r="G57" t="s">
        <v>7</v>
      </c>
    </row>
    <row r="59" spans="1:7" x14ac:dyDescent="0.2">
      <c r="B59" s="3" t="s">
        <v>22</v>
      </c>
      <c r="C59" s="3">
        <f>((C57/C55)^(30/C56)-1)*100</f>
        <v>15.728163286363838</v>
      </c>
      <c r="F59" t="s">
        <v>23</v>
      </c>
      <c r="G59" s="7">
        <f>RATE(F56,,F55,F57,,0.1)</f>
        <v>0.15728163286363833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opLeftCell="A16" workbookViewId="0">
      <selection activeCell="C30" sqref="C30"/>
    </sheetView>
  </sheetViews>
  <sheetFormatPr defaultRowHeight="12.75" x14ac:dyDescent="0.2"/>
  <cols>
    <col min="7" max="7" width="10.83203125" customWidth="1"/>
    <col min="8" max="8" width="10.5" bestFit="1" customWidth="1"/>
  </cols>
  <sheetData>
    <row r="2" spans="2:8" x14ac:dyDescent="0.2">
      <c r="B2">
        <v>1</v>
      </c>
      <c r="C2" t="s">
        <v>5</v>
      </c>
    </row>
    <row r="5" spans="2:8" x14ac:dyDescent="0.2">
      <c r="C5" t="s">
        <v>24</v>
      </c>
      <c r="D5">
        <v>2800</v>
      </c>
      <c r="E5">
        <v>60</v>
      </c>
      <c r="G5" s="2" t="s">
        <v>28</v>
      </c>
      <c r="H5" s="9">
        <f>D5/(1+D9*E5/3000)+D6/(1+D9*E6/3000)+D7/(1+D9*E7/3000)</f>
        <v>11983.533582369615</v>
      </c>
    </row>
    <row r="6" spans="2:8" x14ac:dyDescent="0.2">
      <c r="C6" t="s">
        <v>25</v>
      </c>
      <c r="D6">
        <v>4200</v>
      </c>
      <c r="E6">
        <v>90</v>
      </c>
    </row>
    <row r="7" spans="2:8" x14ac:dyDescent="0.2">
      <c r="C7" t="s">
        <v>26</v>
      </c>
      <c r="D7">
        <v>7000</v>
      </c>
      <c r="E7">
        <v>150</v>
      </c>
      <c r="G7" s="2" t="s">
        <v>29</v>
      </c>
      <c r="H7" s="9">
        <f>D5*(1+D9*(210-E5)/3000)+D6*(1+D9*(210-E6)/3000)+D7*(1+D9*(210-E7)/3000)</f>
        <v>16016</v>
      </c>
    </row>
    <row r="9" spans="2:8" x14ac:dyDescent="0.2">
      <c r="C9" t="s">
        <v>27</v>
      </c>
      <c r="D9">
        <v>4.5</v>
      </c>
    </row>
    <row r="12" spans="2:8" x14ac:dyDescent="0.2">
      <c r="B12">
        <v>2</v>
      </c>
      <c r="C12" t="s">
        <v>5</v>
      </c>
    </row>
    <row r="15" spans="2:8" x14ac:dyDescent="0.2">
      <c r="C15" t="s">
        <v>30</v>
      </c>
      <c r="D15">
        <v>128</v>
      </c>
      <c r="E15">
        <v>0</v>
      </c>
      <c r="G15" s="2" t="s">
        <v>28</v>
      </c>
      <c r="H15" s="9">
        <f>D15/(1+D19*E15/3000)+D16/(1+D19*E16/3000)+D17/(1+D19*E17/3000)</f>
        <v>505.77790682144166</v>
      </c>
    </row>
    <row r="16" spans="2:8" x14ac:dyDescent="0.2">
      <c r="C16" t="s">
        <v>24</v>
      </c>
      <c r="D16">
        <v>192</v>
      </c>
      <c r="E16">
        <v>30</v>
      </c>
    </row>
    <row r="17" spans="2:7" x14ac:dyDescent="0.2">
      <c r="C17" t="s">
        <v>25</v>
      </c>
      <c r="D17">
        <v>192</v>
      </c>
      <c r="E17">
        <v>60</v>
      </c>
    </row>
    <row r="19" spans="2:7" x14ac:dyDescent="0.2">
      <c r="C19" t="s">
        <v>27</v>
      </c>
      <c r="D19">
        <v>1.1000000000000001</v>
      </c>
    </row>
    <row r="22" spans="2:7" x14ac:dyDescent="0.2">
      <c r="B22">
        <v>3</v>
      </c>
      <c r="C22" t="s">
        <v>5</v>
      </c>
    </row>
    <row r="24" spans="2:7" x14ac:dyDescent="0.2">
      <c r="D24" t="s">
        <v>32</v>
      </c>
      <c r="E24" s="1" t="s">
        <v>0</v>
      </c>
      <c r="F24" t="s">
        <v>33</v>
      </c>
      <c r="G24" t="s">
        <v>34</v>
      </c>
    </row>
    <row r="25" spans="2:7" x14ac:dyDescent="0.2">
      <c r="C25" t="s">
        <v>24</v>
      </c>
      <c r="D25">
        <v>0.6</v>
      </c>
      <c r="E25">
        <f>34.2/12</f>
        <v>2.85</v>
      </c>
      <c r="F25">
        <v>2</v>
      </c>
      <c r="G25" s="10">
        <f>G29*D25*E25*F25/100</f>
        <v>1146.6540772532189</v>
      </c>
    </row>
    <row r="26" spans="2:7" x14ac:dyDescent="0.2">
      <c r="C26" t="s">
        <v>25</v>
      </c>
      <c r="D26">
        <v>0.4</v>
      </c>
      <c r="E26">
        <v>3.1</v>
      </c>
      <c r="F26">
        <v>1</v>
      </c>
      <c r="G26" s="10">
        <f>G29*D26*E26*F26/100</f>
        <v>415.74592274678122</v>
      </c>
    </row>
    <row r="28" spans="2:7" x14ac:dyDescent="0.2">
      <c r="F28" t="s">
        <v>35</v>
      </c>
      <c r="G28" s="10">
        <f>G26+G25</f>
        <v>1562.4</v>
      </c>
    </row>
    <row r="29" spans="2:7" x14ac:dyDescent="0.2">
      <c r="F29" s="2" t="s">
        <v>31</v>
      </c>
      <c r="G29" s="9">
        <v>33527.896995708157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opLeftCell="A49" workbookViewId="0">
      <selection activeCell="H59" sqref="H59"/>
    </sheetView>
  </sheetViews>
  <sheetFormatPr defaultRowHeight="12.75" x14ac:dyDescent="0.2"/>
  <cols>
    <col min="4" max="4" width="11.6640625" bestFit="1" customWidth="1"/>
    <col min="8" max="8" width="10.5" bestFit="1" customWidth="1"/>
    <col min="9" max="9" width="14.33203125" customWidth="1"/>
    <col min="11" max="11" width="10.5" bestFit="1" customWidth="1"/>
  </cols>
  <sheetData>
    <row r="1" spans="2:9" x14ac:dyDescent="0.2">
      <c r="D1" s="11"/>
    </row>
    <row r="2" spans="2:9" x14ac:dyDescent="0.2">
      <c r="B2">
        <v>1</v>
      </c>
      <c r="C2" t="s">
        <v>36</v>
      </c>
    </row>
    <row r="4" spans="2:9" x14ac:dyDescent="0.2">
      <c r="C4" t="s">
        <v>48</v>
      </c>
      <c r="D4" t="s">
        <v>43</v>
      </c>
      <c r="F4" s="11" t="s">
        <v>44</v>
      </c>
      <c r="G4" t="s">
        <v>45</v>
      </c>
      <c r="I4" s="2" t="s">
        <v>49</v>
      </c>
    </row>
    <row r="5" spans="2:9" x14ac:dyDescent="0.2">
      <c r="C5" s="1">
        <v>2.2999999999999998</v>
      </c>
      <c r="D5" t="s">
        <v>38</v>
      </c>
      <c r="E5">
        <v>12</v>
      </c>
      <c r="G5" t="s">
        <v>46</v>
      </c>
      <c r="H5">
        <v>1</v>
      </c>
      <c r="I5" s="9">
        <f>((1+C5/100)^(E5)-1)*100</f>
        <v>31.373449839960067</v>
      </c>
    </row>
    <row r="6" spans="2:9" x14ac:dyDescent="0.2">
      <c r="C6" s="1">
        <v>0.14000000000000001</v>
      </c>
      <c r="D6" t="s">
        <v>39</v>
      </c>
      <c r="E6">
        <v>23</v>
      </c>
      <c r="G6" t="s">
        <v>47</v>
      </c>
      <c r="H6">
        <v>1</v>
      </c>
      <c r="I6" s="9">
        <f>((1+C6/100)^(E6)-1)*100</f>
        <v>3.2700773823105767</v>
      </c>
    </row>
    <row r="7" spans="2:9" x14ac:dyDescent="0.2">
      <c r="C7" s="1">
        <v>7.45</v>
      </c>
      <c r="D7" t="s">
        <v>40</v>
      </c>
      <c r="E7">
        <v>4</v>
      </c>
      <c r="G7" t="s">
        <v>46</v>
      </c>
      <c r="H7">
        <v>1</v>
      </c>
      <c r="I7" s="9">
        <f>((1+C7/100)^(E7)-1)*100</f>
        <v>33.298627977506243</v>
      </c>
    </row>
    <row r="8" spans="2:9" x14ac:dyDescent="0.2">
      <c r="C8" s="1">
        <v>6.75</v>
      </c>
      <c r="D8" t="s">
        <v>41</v>
      </c>
      <c r="E8">
        <v>2</v>
      </c>
      <c r="G8" t="s">
        <v>46</v>
      </c>
      <c r="H8">
        <v>1</v>
      </c>
      <c r="I8" s="9">
        <f>((1+C8/100)^(E8)-1)*100</f>
        <v>13.955624999999984</v>
      </c>
    </row>
    <row r="9" spans="2:9" x14ac:dyDescent="0.2">
      <c r="C9" s="1">
        <v>1.87</v>
      </c>
      <c r="D9" t="s">
        <v>42</v>
      </c>
      <c r="E9">
        <f>252/20</f>
        <v>12.6</v>
      </c>
      <c r="G9" t="s">
        <v>46</v>
      </c>
      <c r="H9">
        <v>1</v>
      </c>
      <c r="I9" s="9">
        <f>((1+C9/100)^(E9)-1)*100</f>
        <v>26.294214931513118</v>
      </c>
    </row>
    <row r="12" spans="2:9" x14ac:dyDescent="0.2">
      <c r="B12">
        <v>2</v>
      </c>
      <c r="C12" t="s">
        <v>36</v>
      </c>
    </row>
    <row r="14" spans="2:9" x14ac:dyDescent="0.2">
      <c r="C14" t="s">
        <v>48</v>
      </c>
      <c r="D14" t="s">
        <v>43</v>
      </c>
      <c r="F14" s="11" t="s">
        <v>44</v>
      </c>
      <c r="G14" t="s">
        <v>45</v>
      </c>
      <c r="I14" s="2" t="s">
        <v>49</v>
      </c>
    </row>
    <row r="15" spans="2:9" x14ac:dyDescent="0.2">
      <c r="C15" s="1">
        <v>34</v>
      </c>
      <c r="D15" t="s">
        <v>46</v>
      </c>
      <c r="E15">
        <v>1</v>
      </c>
      <c r="G15" t="s">
        <v>38</v>
      </c>
      <c r="H15">
        <v>12</v>
      </c>
      <c r="I15" s="9">
        <f>((1+C15/100)^(1/H15)-1)*100</f>
        <v>2.4688982150132599</v>
      </c>
    </row>
    <row r="16" spans="2:9" x14ac:dyDescent="0.2">
      <c r="C16" s="1">
        <v>34</v>
      </c>
      <c r="D16" t="s">
        <v>46</v>
      </c>
      <c r="E16">
        <v>1</v>
      </c>
      <c r="G16" t="s">
        <v>50</v>
      </c>
      <c r="H16">
        <v>3</v>
      </c>
      <c r="I16" s="9">
        <f t="shared" ref="I16:I18" si="0">((1+C16/100)^(1/H16)-1)*100</f>
        <v>10.247377144973324</v>
      </c>
    </row>
    <row r="17" spans="2:9" x14ac:dyDescent="0.2">
      <c r="C17" s="1">
        <v>34</v>
      </c>
      <c r="D17" t="s">
        <v>46</v>
      </c>
      <c r="E17">
        <v>1</v>
      </c>
      <c r="G17" t="s">
        <v>41</v>
      </c>
      <c r="H17">
        <v>2</v>
      </c>
      <c r="I17" s="9">
        <f t="shared" si="0"/>
        <v>15.758369027902264</v>
      </c>
    </row>
    <row r="18" spans="2:9" x14ac:dyDescent="0.2">
      <c r="C18" s="1">
        <v>34</v>
      </c>
      <c r="D18" t="s">
        <v>46</v>
      </c>
      <c r="E18">
        <v>1</v>
      </c>
      <c r="G18" t="s">
        <v>51</v>
      </c>
      <c r="H18">
        <f>12/5</f>
        <v>2.4</v>
      </c>
      <c r="I18" s="9">
        <f t="shared" si="0"/>
        <v>12.969272671404507</v>
      </c>
    </row>
    <row r="19" spans="2:9" x14ac:dyDescent="0.2">
      <c r="C19" s="1">
        <v>34</v>
      </c>
      <c r="D19" t="s">
        <v>46</v>
      </c>
      <c r="E19">
        <v>1</v>
      </c>
      <c r="G19" t="s">
        <v>52</v>
      </c>
      <c r="H19">
        <f>12/10</f>
        <v>1.2</v>
      </c>
      <c r="I19" s="9">
        <f>((1+C19/100)^(1/H19)-1)*100</f>
        <v>27.620565679061393</v>
      </c>
    </row>
    <row r="21" spans="2:9" x14ac:dyDescent="0.2">
      <c r="B21">
        <v>3</v>
      </c>
      <c r="C21" t="s">
        <v>36</v>
      </c>
    </row>
    <row r="23" spans="2:9" x14ac:dyDescent="0.2">
      <c r="C23" t="s">
        <v>48</v>
      </c>
      <c r="D23" t="s">
        <v>43</v>
      </c>
      <c r="F23" s="11" t="s">
        <v>44</v>
      </c>
      <c r="G23" t="s">
        <v>45</v>
      </c>
      <c r="I23" s="2" t="s">
        <v>49</v>
      </c>
    </row>
    <row r="24" spans="2:9" x14ac:dyDescent="0.2">
      <c r="C24" s="1">
        <v>18</v>
      </c>
      <c r="D24" t="s">
        <v>46</v>
      </c>
      <c r="E24">
        <v>1</v>
      </c>
      <c r="G24" t="s">
        <v>38</v>
      </c>
      <c r="H24">
        <v>12</v>
      </c>
      <c r="I24" s="9">
        <f>((1+C24/100)^(1/H24)-1)*100</f>
        <v>1.3888430348409919</v>
      </c>
    </row>
    <row r="25" spans="2:9" x14ac:dyDescent="0.2">
      <c r="C25" s="1">
        <v>18</v>
      </c>
      <c r="D25" t="s">
        <v>46</v>
      </c>
      <c r="E25">
        <v>1</v>
      </c>
      <c r="G25" t="s">
        <v>40</v>
      </c>
      <c r="H25">
        <v>4</v>
      </c>
      <c r="I25" s="9">
        <f t="shared" ref="I25:I26" si="1">((1+C25/100)^(1/H25)-1)*100</f>
        <v>4.2246635456321124</v>
      </c>
    </row>
    <row r="26" spans="2:9" x14ac:dyDescent="0.2">
      <c r="C26" s="1">
        <v>18</v>
      </c>
      <c r="D26" t="s">
        <v>46</v>
      </c>
      <c r="E26">
        <v>1</v>
      </c>
      <c r="G26" t="s">
        <v>53</v>
      </c>
      <c r="H26">
        <f>12/7</f>
        <v>1.7142857142857142</v>
      </c>
      <c r="I26" s="9">
        <f t="shared" si="1"/>
        <v>10.136474614423175</v>
      </c>
    </row>
    <row r="28" spans="2:9" x14ac:dyDescent="0.2">
      <c r="B28">
        <v>4</v>
      </c>
      <c r="C28" t="s">
        <v>36</v>
      </c>
    </row>
    <row r="30" spans="2:9" x14ac:dyDescent="0.2">
      <c r="C30" t="s">
        <v>48</v>
      </c>
      <c r="D30" t="s">
        <v>43</v>
      </c>
      <c r="F30" s="11" t="s">
        <v>44</v>
      </c>
      <c r="G30" t="s">
        <v>45</v>
      </c>
      <c r="I30" s="2" t="s">
        <v>49</v>
      </c>
    </row>
    <row r="31" spans="2:9" x14ac:dyDescent="0.2">
      <c r="C31" s="1">
        <v>16.5</v>
      </c>
      <c r="D31" t="s">
        <v>46</v>
      </c>
      <c r="E31">
        <v>1</v>
      </c>
      <c r="G31" t="s">
        <v>38</v>
      </c>
      <c r="H31">
        <v>12</v>
      </c>
      <c r="I31" s="9">
        <f>((1+C31/100)^(1/H31)-1)*100</f>
        <v>1.2808087081983555</v>
      </c>
    </row>
    <row r="32" spans="2:9" x14ac:dyDescent="0.2">
      <c r="C32" s="1">
        <v>16.5</v>
      </c>
      <c r="D32" t="s">
        <v>46</v>
      </c>
      <c r="E32">
        <v>1</v>
      </c>
      <c r="G32" t="s">
        <v>54</v>
      </c>
      <c r="H32">
        <f>12/9</f>
        <v>1.3333333333333333</v>
      </c>
      <c r="I32" s="9">
        <f t="shared" ref="I32:I33" si="2">((1+C32/100)^(1/H32)-1)*100</f>
        <v>12.135840866859304</v>
      </c>
    </row>
    <row r="33" spans="2:9" x14ac:dyDescent="0.2">
      <c r="C33" s="1">
        <v>16.5</v>
      </c>
      <c r="D33" t="s">
        <v>46</v>
      </c>
      <c r="E33">
        <v>1</v>
      </c>
      <c r="G33" t="s">
        <v>55</v>
      </c>
      <c r="H33">
        <f>252/37</f>
        <v>6.8108108108108105</v>
      </c>
      <c r="I33" s="9">
        <f t="shared" si="2"/>
        <v>2.2676626842253578</v>
      </c>
    </row>
    <row r="34" spans="2:9" x14ac:dyDescent="0.2">
      <c r="C34" s="1">
        <v>16.5</v>
      </c>
      <c r="D34" t="s">
        <v>46</v>
      </c>
      <c r="E34">
        <v>1</v>
      </c>
      <c r="G34" t="s">
        <v>56</v>
      </c>
      <c r="H34">
        <f>252/100</f>
        <v>2.52</v>
      </c>
      <c r="I34" s="9">
        <f t="shared" ref="I34" si="3">((1+C34/100)^(1/H34)-1)*100</f>
        <v>6.2477670886523784</v>
      </c>
    </row>
    <row r="37" spans="2:9" x14ac:dyDescent="0.2">
      <c r="B37">
        <v>5</v>
      </c>
      <c r="C37" t="s">
        <v>36</v>
      </c>
    </row>
    <row r="39" spans="2:9" x14ac:dyDescent="0.2">
      <c r="C39" t="s">
        <v>58</v>
      </c>
      <c r="D39">
        <v>4</v>
      </c>
      <c r="E39" t="s">
        <v>16</v>
      </c>
      <c r="G39" t="s">
        <v>59</v>
      </c>
      <c r="H39">
        <v>9</v>
      </c>
      <c r="I39" t="s">
        <v>16</v>
      </c>
    </row>
    <row r="40" spans="2:9" x14ac:dyDescent="0.2">
      <c r="C40" t="s">
        <v>57</v>
      </c>
      <c r="D40" s="12">
        <v>36670</v>
      </c>
      <c r="G40" t="s">
        <v>60</v>
      </c>
      <c r="H40" s="12">
        <v>41400</v>
      </c>
    </row>
    <row r="41" spans="2:9" x14ac:dyDescent="0.2">
      <c r="C41" t="s">
        <v>61</v>
      </c>
      <c r="D41">
        <v>2.1</v>
      </c>
    </row>
    <row r="43" spans="2:9" x14ac:dyDescent="0.2">
      <c r="C43" s="3" t="s">
        <v>6</v>
      </c>
      <c r="D43" s="3">
        <f>D40/(D41/100+1)^(D39)</f>
        <v>33744.884158937151</v>
      </c>
      <c r="G43" s="3" t="s">
        <v>22</v>
      </c>
      <c r="H43" s="3">
        <f>((H40/D43)^(1/H39)-1)*100</f>
        <v>2.2976888730626754</v>
      </c>
    </row>
    <row r="45" spans="2:9" x14ac:dyDescent="0.2">
      <c r="C45" t="s">
        <v>62</v>
      </c>
    </row>
    <row r="48" spans="2:9" x14ac:dyDescent="0.2">
      <c r="B48">
        <v>6</v>
      </c>
      <c r="C48" t="s">
        <v>36</v>
      </c>
    </row>
    <row r="51" spans="3:11" x14ac:dyDescent="0.2">
      <c r="D51" t="s">
        <v>66</v>
      </c>
      <c r="E51" t="s">
        <v>67</v>
      </c>
      <c r="I51" t="s">
        <v>66</v>
      </c>
      <c r="J51" t="s">
        <v>67</v>
      </c>
    </row>
    <row r="52" spans="3:11" x14ac:dyDescent="0.2">
      <c r="C52" t="s">
        <v>63</v>
      </c>
      <c r="D52">
        <v>18200</v>
      </c>
      <c r="E52">
        <v>1</v>
      </c>
      <c r="H52" t="s">
        <v>24</v>
      </c>
      <c r="I52" s="8">
        <v>44068.097955089739</v>
      </c>
      <c r="J52">
        <v>12</v>
      </c>
    </row>
    <row r="53" spans="3:11" x14ac:dyDescent="0.2">
      <c r="C53" t="s">
        <v>64</v>
      </c>
      <c r="D53">
        <v>23300</v>
      </c>
      <c r="E53">
        <v>5</v>
      </c>
      <c r="H53" t="s">
        <v>25</v>
      </c>
      <c r="I53" s="8">
        <f>I52</f>
        <v>44068.097955089739</v>
      </c>
      <c r="J53">
        <v>15</v>
      </c>
    </row>
    <row r="54" spans="3:11" x14ac:dyDescent="0.2">
      <c r="C54" t="s">
        <v>65</v>
      </c>
      <c r="D54">
        <v>30000</v>
      </c>
      <c r="E54">
        <v>10</v>
      </c>
    </row>
    <row r="56" spans="3:11" x14ac:dyDescent="0.2">
      <c r="C56" t="s">
        <v>27</v>
      </c>
      <c r="D56">
        <v>2.8</v>
      </c>
      <c r="I56">
        <f>D56</f>
        <v>2.8</v>
      </c>
    </row>
    <row r="58" spans="3:11" x14ac:dyDescent="0.2">
      <c r="C58" s="2" t="s">
        <v>68</v>
      </c>
      <c r="D58" s="9">
        <f>D52/(1+D56/100)+D53/(1+D56/100)^E53+D54/(1+D56/100)^E54</f>
        <v>60760.276038145872</v>
      </c>
      <c r="I58" s="9">
        <f>I52/(1+I56/100)^J52+I53/(1+I56/100)^J53</f>
        <v>60760.276038145879</v>
      </c>
      <c r="K58" s="10">
        <f>D58-I58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8"/>
  <sheetViews>
    <sheetView topLeftCell="A37" workbookViewId="0">
      <selection activeCell="D51" sqref="D51"/>
    </sheetView>
  </sheetViews>
  <sheetFormatPr defaultRowHeight="12.75" x14ac:dyDescent="0.2"/>
  <cols>
    <col min="3" max="3" width="12" bestFit="1" customWidth="1"/>
    <col min="4" max="4" width="13" bestFit="1" customWidth="1"/>
    <col min="6" max="6" width="12.5" customWidth="1"/>
    <col min="7" max="7" width="13" bestFit="1" customWidth="1"/>
  </cols>
  <sheetData>
    <row r="2" spans="2:7" x14ac:dyDescent="0.2">
      <c r="B2">
        <v>1</v>
      </c>
      <c r="C2" t="s">
        <v>69</v>
      </c>
    </row>
    <row r="4" spans="2:7" x14ac:dyDescent="0.2">
      <c r="C4" t="s">
        <v>71</v>
      </c>
      <c r="D4">
        <v>7000</v>
      </c>
    </row>
    <row r="5" spans="2:7" x14ac:dyDescent="0.2">
      <c r="C5" t="s">
        <v>70</v>
      </c>
      <c r="D5">
        <v>3000</v>
      </c>
    </row>
    <row r="6" spans="2:7" x14ac:dyDescent="0.2">
      <c r="C6" t="s">
        <v>27</v>
      </c>
      <c r="D6">
        <v>5</v>
      </c>
    </row>
    <row r="7" spans="2:7" x14ac:dyDescent="0.2">
      <c r="C7" t="s">
        <v>72</v>
      </c>
      <c r="D7">
        <v>6</v>
      </c>
    </row>
    <row r="9" spans="2:7" x14ac:dyDescent="0.2">
      <c r="D9" s="13">
        <f>PV(D6/100,D7,-D5)</f>
        <v>15227.076201802342</v>
      </c>
    </row>
    <row r="10" spans="2:7" x14ac:dyDescent="0.2">
      <c r="C10" s="2" t="s">
        <v>68</v>
      </c>
      <c r="D10" s="14">
        <f>D9+D5</f>
        <v>18227.076201802342</v>
      </c>
    </row>
    <row r="13" spans="2:7" x14ac:dyDescent="0.2">
      <c r="B13">
        <v>2</v>
      </c>
      <c r="C13" t="s">
        <v>69</v>
      </c>
    </row>
    <row r="15" spans="2:7" x14ac:dyDescent="0.2">
      <c r="C15" t="s">
        <v>73</v>
      </c>
      <c r="D15">
        <v>20000</v>
      </c>
      <c r="F15" t="s">
        <v>71</v>
      </c>
      <c r="G15">
        <f>0.3*D15</f>
        <v>6000</v>
      </c>
    </row>
    <row r="16" spans="2:7" x14ac:dyDescent="0.2">
      <c r="F16" t="s">
        <v>9</v>
      </c>
      <c r="G16">
        <f>D15-G15</f>
        <v>14000</v>
      </c>
    </row>
    <row r="17" spans="2:7" x14ac:dyDescent="0.2">
      <c r="F17" t="s">
        <v>27</v>
      </c>
      <c r="G17">
        <v>4.5</v>
      </c>
    </row>
    <row r="18" spans="2:7" x14ac:dyDescent="0.2">
      <c r="F18" t="s">
        <v>72</v>
      </c>
      <c r="G18">
        <v>12</v>
      </c>
    </row>
    <row r="20" spans="2:7" x14ac:dyDescent="0.2">
      <c r="F20" s="2" t="s">
        <v>74</v>
      </c>
      <c r="G20" s="9">
        <f>PMT(G17/100,G18,-G16)</f>
        <v>1535.326640910904</v>
      </c>
    </row>
    <row r="21" spans="2:7" x14ac:dyDescent="0.2">
      <c r="G21" s="13"/>
    </row>
    <row r="23" spans="2:7" x14ac:dyDescent="0.2">
      <c r="B23">
        <v>3</v>
      </c>
      <c r="C23" t="s">
        <v>69</v>
      </c>
    </row>
    <row r="25" spans="2:7" x14ac:dyDescent="0.2">
      <c r="C25" t="s">
        <v>74</v>
      </c>
      <c r="D25">
        <v>500</v>
      </c>
    </row>
    <row r="26" spans="2:7" x14ac:dyDescent="0.2">
      <c r="C26" t="s">
        <v>27</v>
      </c>
      <c r="D26">
        <v>1</v>
      </c>
    </row>
    <row r="27" spans="2:7" x14ac:dyDescent="0.2">
      <c r="C27" t="s">
        <v>72</v>
      </c>
      <c r="D27">
        <v>180</v>
      </c>
    </row>
    <row r="29" spans="2:7" x14ac:dyDescent="0.2">
      <c r="C29" s="2" t="s">
        <v>8</v>
      </c>
      <c r="D29" s="14">
        <f>FV(D26/100,D27,-D25)</f>
        <v>249790.09876780899</v>
      </c>
    </row>
    <row r="32" spans="2:7" x14ac:dyDescent="0.2">
      <c r="B32">
        <v>4</v>
      </c>
      <c r="C32" t="s">
        <v>69</v>
      </c>
    </row>
    <row r="34" spans="2:7" x14ac:dyDescent="0.2">
      <c r="C34" t="s">
        <v>75</v>
      </c>
      <c r="D34">
        <v>25000</v>
      </c>
      <c r="F34" s="2" t="s">
        <v>76</v>
      </c>
      <c r="G34" s="14">
        <f>FV(D36/100,G35,,-D34,P18)</f>
        <v>27103.905410425006</v>
      </c>
    </row>
    <row r="35" spans="2:7" x14ac:dyDescent="0.2">
      <c r="C35" t="s">
        <v>72</v>
      </c>
      <c r="D35">
        <v>18</v>
      </c>
      <c r="F35" t="s">
        <v>72</v>
      </c>
      <c r="G35">
        <v>3</v>
      </c>
    </row>
    <row r="36" spans="2:7" x14ac:dyDescent="0.2">
      <c r="C36" t="s">
        <v>27</v>
      </c>
      <c r="D36">
        <v>2.73</v>
      </c>
    </row>
    <row r="38" spans="2:7" x14ac:dyDescent="0.2">
      <c r="F38" s="2" t="s">
        <v>74</v>
      </c>
      <c r="G38" s="9">
        <f>PMT(D36/100,D35,-G34)</f>
        <v>1925.9800871012083</v>
      </c>
    </row>
    <row r="41" spans="2:7" x14ac:dyDescent="0.2">
      <c r="B41">
        <v>5</v>
      </c>
      <c r="C41" t="s">
        <v>69</v>
      </c>
    </row>
    <row r="43" spans="2:7" x14ac:dyDescent="0.2">
      <c r="C43" t="s">
        <v>73</v>
      </c>
      <c r="D43">
        <v>20000</v>
      </c>
      <c r="F43" t="s">
        <v>71</v>
      </c>
      <c r="G43">
        <f>0.2*D43</f>
        <v>4000</v>
      </c>
    </row>
    <row r="44" spans="2:7" x14ac:dyDescent="0.2">
      <c r="C44" t="s">
        <v>72</v>
      </c>
      <c r="D44">
        <v>4</v>
      </c>
      <c r="F44" t="s">
        <v>9</v>
      </c>
      <c r="G44">
        <f>D43-G43</f>
        <v>16000</v>
      </c>
    </row>
    <row r="45" spans="2:7" x14ac:dyDescent="0.2">
      <c r="C45" t="s">
        <v>27</v>
      </c>
      <c r="D45">
        <v>3.1</v>
      </c>
      <c r="F45" s="2" t="s">
        <v>77</v>
      </c>
      <c r="G45" s="14">
        <f>FV(D45/100,G46,,-G44)</f>
        <v>17007.375999999997</v>
      </c>
    </row>
    <row r="46" spans="2:7" x14ac:dyDescent="0.2">
      <c r="F46" t="s">
        <v>72</v>
      </c>
      <c r="G46">
        <v>2</v>
      </c>
    </row>
    <row r="48" spans="2:7" x14ac:dyDescent="0.2">
      <c r="F48" s="2" t="s">
        <v>74</v>
      </c>
      <c r="G48" s="15">
        <f>PMT(D45/100,D45+D44,-G45)</f>
        <v>2705.4752029674642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opLeftCell="A84" workbookViewId="0">
      <selection activeCell="C93" sqref="C93"/>
    </sheetView>
  </sheetViews>
  <sheetFormatPr defaultRowHeight="12.75" x14ac:dyDescent="0.2"/>
  <cols>
    <col min="1" max="1" width="37" bestFit="1" customWidth="1"/>
    <col min="2" max="3" width="13.6640625" bestFit="1" customWidth="1"/>
    <col min="4" max="4" width="14.33203125" customWidth="1"/>
    <col min="5" max="13" width="12.83203125" bestFit="1" customWidth="1"/>
    <col min="14" max="14" width="11.83203125" bestFit="1" customWidth="1"/>
    <col min="15" max="16" width="12.83203125" bestFit="1" customWidth="1"/>
    <col min="17" max="17" width="11.83203125" bestFit="1" customWidth="1"/>
    <col min="18" max="18" width="12.83203125" bestFit="1" customWidth="1"/>
    <col min="19" max="19" width="11.83203125" bestFit="1" customWidth="1"/>
    <col min="20" max="25" width="12.83203125" bestFit="1" customWidth="1"/>
    <col min="26" max="26" width="12.1640625" bestFit="1" customWidth="1"/>
    <col min="258" max="258" width="14.6640625" customWidth="1"/>
    <col min="259" max="259" width="13.5" bestFit="1" customWidth="1"/>
    <col min="260" max="260" width="13.33203125" bestFit="1" customWidth="1"/>
    <col min="514" max="514" width="14.6640625" customWidth="1"/>
    <col min="515" max="515" width="13.5" bestFit="1" customWidth="1"/>
    <col min="516" max="516" width="13.33203125" bestFit="1" customWidth="1"/>
    <col min="770" max="770" width="14.6640625" customWidth="1"/>
    <col min="771" max="771" width="13.5" bestFit="1" customWidth="1"/>
    <col min="772" max="772" width="13.33203125" bestFit="1" customWidth="1"/>
    <col min="1026" max="1026" width="14.6640625" customWidth="1"/>
    <col min="1027" max="1027" width="13.5" bestFit="1" customWidth="1"/>
    <col min="1028" max="1028" width="13.33203125" bestFit="1" customWidth="1"/>
    <col min="1282" max="1282" width="14.6640625" customWidth="1"/>
    <col min="1283" max="1283" width="13.5" bestFit="1" customWidth="1"/>
    <col min="1284" max="1284" width="13.33203125" bestFit="1" customWidth="1"/>
    <col min="1538" max="1538" width="14.6640625" customWidth="1"/>
    <col min="1539" max="1539" width="13.5" bestFit="1" customWidth="1"/>
    <col min="1540" max="1540" width="13.33203125" bestFit="1" customWidth="1"/>
    <col min="1794" max="1794" width="14.6640625" customWidth="1"/>
    <col min="1795" max="1795" width="13.5" bestFit="1" customWidth="1"/>
    <col min="1796" max="1796" width="13.33203125" bestFit="1" customWidth="1"/>
    <col min="2050" max="2050" width="14.6640625" customWidth="1"/>
    <col min="2051" max="2051" width="13.5" bestFit="1" customWidth="1"/>
    <col min="2052" max="2052" width="13.33203125" bestFit="1" customWidth="1"/>
    <col min="2306" max="2306" width="14.6640625" customWidth="1"/>
    <col min="2307" max="2307" width="13.5" bestFit="1" customWidth="1"/>
    <col min="2308" max="2308" width="13.33203125" bestFit="1" customWidth="1"/>
    <col min="2562" max="2562" width="14.6640625" customWidth="1"/>
    <col min="2563" max="2563" width="13.5" bestFit="1" customWidth="1"/>
    <col min="2564" max="2564" width="13.33203125" bestFit="1" customWidth="1"/>
    <col min="2818" max="2818" width="14.6640625" customWidth="1"/>
    <col min="2819" max="2819" width="13.5" bestFit="1" customWidth="1"/>
    <col min="2820" max="2820" width="13.33203125" bestFit="1" customWidth="1"/>
    <col min="3074" max="3074" width="14.6640625" customWidth="1"/>
    <col min="3075" max="3075" width="13.5" bestFit="1" customWidth="1"/>
    <col min="3076" max="3076" width="13.33203125" bestFit="1" customWidth="1"/>
    <col min="3330" max="3330" width="14.6640625" customWidth="1"/>
    <col min="3331" max="3331" width="13.5" bestFit="1" customWidth="1"/>
    <col min="3332" max="3332" width="13.33203125" bestFit="1" customWidth="1"/>
    <col min="3586" max="3586" width="14.6640625" customWidth="1"/>
    <col min="3587" max="3587" width="13.5" bestFit="1" customWidth="1"/>
    <col min="3588" max="3588" width="13.33203125" bestFit="1" customWidth="1"/>
    <col min="3842" max="3842" width="14.6640625" customWidth="1"/>
    <col min="3843" max="3843" width="13.5" bestFit="1" customWidth="1"/>
    <col min="3844" max="3844" width="13.33203125" bestFit="1" customWidth="1"/>
    <col min="4098" max="4098" width="14.6640625" customWidth="1"/>
    <col min="4099" max="4099" width="13.5" bestFit="1" customWidth="1"/>
    <col min="4100" max="4100" width="13.33203125" bestFit="1" customWidth="1"/>
    <col min="4354" max="4354" width="14.6640625" customWidth="1"/>
    <col min="4355" max="4355" width="13.5" bestFit="1" customWidth="1"/>
    <col min="4356" max="4356" width="13.33203125" bestFit="1" customWidth="1"/>
    <col min="4610" max="4610" width="14.6640625" customWidth="1"/>
    <col min="4611" max="4611" width="13.5" bestFit="1" customWidth="1"/>
    <col min="4612" max="4612" width="13.33203125" bestFit="1" customWidth="1"/>
    <col min="4866" max="4866" width="14.6640625" customWidth="1"/>
    <col min="4867" max="4867" width="13.5" bestFit="1" customWidth="1"/>
    <col min="4868" max="4868" width="13.33203125" bestFit="1" customWidth="1"/>
    <col min="5122" max="5122" width="14.6640625" customWidth="1"/>
    <col min="5123" max="5123" width="13.5" bestFit="1" customWidth="1"/>
    <col min="5124" max="5124" width="13.33203125" bestFit="1" customWidth="1"/>
    <col min="5378" max="5378" width="14.6640625" customWidth="1"/>
    <col min="5379" max="5379" width="13.5" bestFit="1" customWidth="1"/>
    <col min="5380" max="5380" width="13.33203125" bestFit="1" customWidth="1"/>
    <col min="5634" max="5634" width="14.6640625" customWidth="1"/>
    <col min="5635" max="5635" width="13.5" bestFit="1" customWidth="1"/>
    <col min="5636" max="5636" width="13.33203125" bestFit="1" customWidth="1"/>
    <col min="5890" max="5890" width="14.6640625" customWidth="1"/>
    <col min="5891" max="5891" width="13.5" bestFit="1" customWidth="1"/>
    <col min="5892" max="5892" width="13.33203125" bestFit="1" customWidth="1"/>
    <col min="6146" max="6146" width="14.6640625" customWidth="1"/>
    <col min="6147" max="6147" width="13.5" bestFit="1" customWidth="1"/>
    <col min="6148" max="6148" width="13.33203125" bestFit="1" customWidth="1"/>
    <col min="6402" max="6402" width="14.6640625" customWidth="1"/>
    <col min="6403" max="6403" width="13.5" bestFit="1" customWidth="1"/>
    <col min="6404" max="6404" width="13.33203125" bestFit="1" customWidth="1"/>
    <col min="6658" max="6658" width="14.6640625" customWidth="1"/>
    <col min="6659" max="6659" width="13.5" bestFit="1" customWidth="1"/>
    <col min="6660" max="6660" width="13.33203125" bestFit="1" customWidth="1"/>
    <col min="6914" max="6914" width="14.6640625" customWidth="1"/>
    <col min="6915" max="6915" width="13.5" bestFit="1" customWidth="1"/>
    <col min="6916" max="6916" width="13.33203125" bestFit="1" customWidth="1"/>
    <col min="7170" max="7170" width="14.6640625" customWidth="1"/>
    <col min="7171" max="7171" width="13.5" bestFit="1" customWidth="1"/>
    <col min="7172" max="7172" width="13.33203125" bestFit="1" customWidth="1"/>
    <col min="7426" max="7426" width="14.6640625" customWidth="1"/>
    <col min="7427" max="7427" width="13.5" bestFit="1" customWidth="1"/>
    <col min="7428" max="7428" width="13.33203125" bestFit="1" customWidth="1"/>
    <col min="7682" max="7682" width="14.6640625" customWidth="1"/>
    <col min="7683" max="7683" width="13.5" bestFit="1" customWidth="1"/>
    <col min="7684" max="7684" width="13.33203125" bestFit="1" customWidth="1"/>
    <col min="7938" max="7938" width="14.6640625" customWidth="1"/>
    <col min="7939" max="7939" width="13.5" bestFit="1" customWidth="1"/>
    <col min="7940" max="7940" width="13.33203125" bestFit="1" customWidth="1"/>
    <col min="8194" max="8194" width="14.6640625" customWidth="1"/>
    <col min="8195" max="8195" width="13.5" bestFit="1" customWidth="1"/>
    <col min="8196" max="8196" width="13.33203125" bestFit="1" customWidth="1"/>
    <col min="8450" max="8450" width="14.6640625" customWidth="1"/>
    <col min="8451" max="8451" width="13.5" bestFit="1" customWidth="1"/>
    <col min="8452" max="8452" width="13.33203125" bestFit="1" customWidth="1"/>
    <col min="8706" max="8706" width="14.6640625" customWidth="1"/>
    <col min="8707" max="8707" width="13.5" bestFit="1" customWidth="1"/>
    <col min="8708" max="8708" width="13.33203125" bestFit="1" customWidth="1"/>
    <col min="8962" max="8962" width="14.6640625" customWidth="1"/>
    <col min="8963" max="8963" width="13.5" bestFit="1" customWidth="1"/>
    <col min="8964" max="8964" width="13.33203125" bestFit="1" customWidth="1"/>
    <col min="9218" max="9218" width="14.6640625" customWidth="1"/>
    <col min="9219" max="9219" width="13.5" bestFit="1" customWidth="1"/>
    <col min="9220" max="9220" width="13.33203125" bestFit="1" customWidth="1"/>
    <col min="9474" max="9474" width="14.6640625" customWidth="1"/>
    <col min="9475" max="9475" width="13.5" bestFit="1" customWidth="1"/>
    <col min="9476" max="9476" width="13.33203125" bestFit="1" customWidth="1"/>
    <col min="9730" max="9730" width="14.6640625" customWidth="1"/>
    <col min="9731" max="9731" width="13.5" bestFit="1" customWidth="1"/>
    <col min="9732" max="9732" width="13.33203125" bestFit="1" customWidth="1"/>
    <col min="9986" max="9986" width="14.6640625" customWidth="1"/>
    <col min="9987" max="9987" width="13.5" bestFit="1" customWidth="1"/>
    <col min="9988" max="9988" width="13.33203125" bestFit="1" customWidth="1"/>
    <col min="10242" max="10242" width="14.6640625" customWidth="1"/>
    <col min="10243" max="10243" width="13.5" bestFit="1" customWidth="1"/>
    <col min="10244" max="10244" width="13.33203125" bestFit="1" customWidth="1"/>
    <col min="10498" max="10498" width="14.6640625" customWidth="1"/>
    <col min="10499" max="10499" width="13.5" bestFit="1" customWidth="1"/>
    <col min="10500" max="10500" width="13.33203125" bestFit="1" customWidth="1"/>
    <col min="10754" max="10754" width="14.6640625" customWidth="1"/>
    <col min="10755" max="10755" width="13.5" bestFit="1" customWidth="1"/>
    <col min="10756" max="10756" width="13.33203125" bestFit="1" customWidth="1"/>
    <col min="11010" max="11010" width="14.6640625" customWidth="1"/>
    <col min="11011" max="11011" width="13.5" bestFit="1" customWidth="1"/>
    <col min="11012" max="11012" width="13.33203125" bestFit="1" customWidth="1"/>
    <col min="11266" max="11266" width="14.6640625" customWidth="1"/>
    <col min="11267" max="11267" width="13.5" bestFit="1" customWidth="1"/>
    <col min="11268" max="11268" width="13.33203125" bestFit="1" customWidth="1"/>
    <col min="11522" max="11522" width="14.6640625" customWidth="1"/>
    <col min="11523" max="11523" width="13.5" bestFit="1" customWidth="1"/>
    <col min="11524" max="11524" width="13.33203125" bestFit="1" customWidth="1"/>
    <col min="11778" max="11778" width="14.6640625" customWidth="1"/>
    <col min="11779" max="11779" width="13.5" bestFit="1" customWidth="1"/>
    <col min="11780" max="11780" width="13.33203125" bestFit="1" customWidth="1"/>
    <col min="12034" max="12034" width="14.6640625" customWidth="1"/>
    <col min="12035" max="12035" width="13.5" bestFit="1" customWidth="1"/>
    <col min="12036" max="12036" width="13.33203125" bestFit="1" customWidth="1"/>
    <col min="12290" max="12290" width="14.6640625" customWidth="1"/>
    <col min="12291" max="12291" width="13.5" bestFit="1" customWidth="1"/>
    <col min="12292" max="12292" width="13.33203125" bestFit="1" customWidth="1"/>
    <col min="12546" max="12546" width="14.6640625" customWidth="1"/>
    <col min="12547" max="12547" width="13.5" bestFit="1" customWidth="1"/>
    <col min="12548" max="12548" width="13.33203125" bestFit="1" customWidth="1"/>
    <col min="12802" max="12802" width="14.6640625" customWidth="1"/>
    <col min="12803" max="12803" width="13.5" bestFit="1" customWidth="1"/>
    <col min="12804" max="12804" width="13.33203125" bestFit="1" customWidth="1"/>
    <col min="13058" max="13058" width="14.6640625" customWidth="1"/>
    <col min="13059" max="13059" width="13.5" bestFit="1" customWidth="1"/>
    <col min="13060" max="13060" width="13.33203125" bestFit="1" customWidth="1"/>
    <col min="13314" max="13314" width="14.6640625" customWidth="1"/>
    <col min="13315" max="13315" width="13.5" bestFit="1" customWidth="1"/>
    <col min="13316" max="13316" width="13.33203125" bestFit="1" customWidth="1"/>
    <col min="13570" max="13570" width="14.6640625" customWidth="1"/>
    <col min="13571" max="13571" width="13.5" bestFit="1" customWidth="1"/>
    <col min="13572" max="13572" width="13.33203125" bestFit="1" customWidth="1"/>
    <col min="13826" max="13826" width="14.6640625" customWidth="1"/>
    <col min="13827" max="13827" width="13.5" bestFit="1" customWidth="1"/>
    <col min="13828" max="13828" width="13.33203125" bestFit="1" customWidth="1"/>
    <col min="14082" max="14082" width="14.6640625" customWidth="1"/>
    <col min="14083" max="14083" width="13.5" bestFit="1" customWidth="1"/>
    <col min="14084" max="14084" width="13.33203125" bestFit="1" customWidth="1"/>
    <col min="14338" max="14338" width="14.6640625" customWidth="1"/>
    <col min="14339" max="14339" width="13.5" bestFit="1" customWidth="1"/>
    <col min="14340" max="14340" width="13.33203125" bestFit="1" customWidth="1"/>
    <col min="14594" max="14594" width="14.6640625" customWidth="1"/>
    <col min="14595" max="14595" width="13.5" bestFit="1" customWidth="1"/>
    <col min="14596" max="14596" width="13.33203125" bestFit="1" customWidth="1"/>
    <col min="14850" max="14850" width="14.6640625" customWidth="1"/>
    <col min="14851" max="14851" width="13.5" bestFit="1" customWidth="1"/>
    <col min="14852" max="14852" width="13.33203125" bestFit="1" customWidth="1"/>
    <col min="15106" max="15106" width="14.6640625" customWidth="1"/>
    <col min="15107" max="15107" width="13.5" bestFit="1" customWidth="1"/>
    <col min="15108" max="15108" width="13.33203125" bestFit="1" customWidth="1"/>
    <col min="15362" max="15362" width="14.6640625" customWidth="1"/>
    <col min="15363" max="15363" width="13.5" bestFit="1" customWidth="1"/>
    <col min="15364" max="15364" width="13.33203125" bestFit="1" customWidth="1"/>
    <col min="15618" max="15618" width="14.6640625" customWidth="1"/>
    <col min="15619" max="15619" width="13.5" bestFit="1" customWidth="1"/>
    <col min="15620" max="15620" width="13.33203125" bestFit="1" customWidth="1"/>
    <col min="15874" max="15874" width="14.6640625" customWidth="1"/>
    <col min="15875" max="15875" width="13.5" bestFit="1" customWidth="1"/>
    <col min="15876" max="15876" width="13.33203125" bestFit="1" customWidth="1"/>
    <col min="16130" max="16130" width="14.6640625" customWidth="1"/>
    <col min="16131" max="16131" width="13.5" bestFit="1" customWidth="1"/>
    <col min="16132" max="16132" width="13.33203125" bestFit="1" customWidth="1"/>
  </cols>
  <sheetData>
    <row r="1" spans="1:7" x14ac:dyDescent="0.2">
      <c r="A1" t="s">
        <v>78</v>
      </c>
    </row>
    <row r="2" spans="1:7" ht="13.5" thickBot="1" x14ac:dyDescent="0.25">
      <c r="A2" t="s">
        <v>79</v>
      </c>
    </row>
    <row r="3" spans="1:7" ht="16.5" thickBot="1" x14ac:dyDescent="0.25">
      <c r="B3" s="16" t="s">
        <v>80</v>
      </c>
      <c r="C3" s="17" t="s">
        <v>81</v>
      </c>
      <c r="D3" s="17" t="s">
        <v>82</v>
      </c>
      <c r="E3" s="17" t="s">
        <v>83</v>
      </c>
      <c r="F3" s="17" t="s">
        <v>84</v>
      </c>
      <c r="G3" s="17" t="s">
        <v>85</v>
      </c>
    </row>
    <row r="4" spans="1:7" ht="16.5" thickBot="1" x14ac:dyDescent="0.25">
      <c r="B4" s="18">
        <v>-12000</v>
      </c>
      <c r="C4" s="19">
        <v>2000</v>
      </c>
      <c r="D4" s="19">
        <v>4000</v>
      </c>
      <c r="E4" s="19">
        <v>4000</v>
      </c>
      <c r="F4" s="19">
        <v>6000</v>
      </c>
      <c r="G4" s="19">
        <v>6000</v>
      </c>
    </row>
    <row r="5" spans="1:7" x14ac:dyDescent="0.2">
      <c r="B5" s="20"/>
    </row>
    <row r="6" spans="1:7" x14ac:dyDescent="0.2">
      <c r="B6" s="30" t="s">
        <v>86</v>
      </c>
      <c r="C6" s="31">
        <f>IRR(B4:G4)</f>
        <v>0.20204142452485385</v>
      </c>
    </row>
    <row r="8" spans="1:7" x14ac:dyDescent="0.2">
      <c r="B8" s="30" t="s">
        <v>87</v>
      </c>
      <c r="C8" s="32">
        <f>NPV(15%,C4:G4)+B4</f>
        <v>1807.3499190456496</v>
      </c>
    </row>
    <row r="10" spans="1:7" x14ac:dyDescent="0.2">
      <c r="B10" s="33" t="s">
        <v>249</v>
      </c>
      <c r="C10" s="20"/>
      <c r="D10" s="20"/>
    </row>
    <row r="11" spans="1:7" ht="13.5" thickBot="1" x14ac:dyDescent="0.25">
      <c r="A11" t="s">
        <v>88</v>
      </c>
      <c r="B11" s="21"/>
    </row>
    <row r="12" spans="1:7" ht="16.5" thickBot="1" x14ac:dyDescent="0.25">
      <c r="B12" s="16" t="s">
        <v>80</v>
      </c>
      <c r="C12" s="17" t="s">
        <v>81</v>
      </c>
      <c r="D12" s="17" t="s">
        <v>82</v>
      </c>
      <c r="E12" s="17" t="s">
        <v>83</v>
      </c>
      <c r="F12" s="17" t="s">
        <v>84</v>
      </c>
      <c r="G12" s="17" t="s">
        <v>85</v>
      </c>
    </row>
    <row r="13" spans="1:7" ht="16.5" thickBot="1" x14ac:dyDescent="0.25">
      <c r="B13" s="22">
        <v>-700000</v>
      </c>
      <c r="C13" s="23">
        <v>140000</v>
      </c>
      <c r="D13" s="23">
        <v>200000</v>
      </c>
      <c r="E13" s="23">
        <v>250000</v>
      </c>
      <c r="F13" s="23">
        <v>300000</v>
      </c>
      <c r="G13" s="23">
        <v>500000</v>
      </c>
    </row>
    <row r="14" spans="1:7" x14ac:dyDescent="0.2">
      <c r="B14" s="24"/>
      <c r="C14" s="24"/>
    </row>
    <row r="15" spans="1:7" x14ac:dyDescent="0.2">
      <c r="B15" s="25"/>
    </row>
    <row r="16" spans="1:7" x14ac:dyDescent="0.2">
      <c r="B16" s="2" t="s">
        <v>89</v>
      </c>
      <c r="C16" s="34">
        <f>IRR(B13:G13)</f>
        <v>0.22392374878667609</v>
      </c>
    </row>
    <row r="18" spans="1:4" x14ac:dyDescent="0.2">
      <c r="B18" s="2" t="s">
        <v>87</v>
      </c>
      <c r="C18" s="33">
        <f>NPV(15%,C13:G13)+B13</f>
        <v>157461.26332919206</v>
      </c>
    </row>
    <row r="21" spans="1:4" ht="13.5" thickBot="1" x14ac:dyDescent="0.25">
      <c r="A21" t="s">
        <v>90</v>
      </c>
    </row>
    <row r="22" spans="1:4" ht="16.5" thickBot="1" x14ac:dyDescent="0.25">
      <c r="B22" s="16" t="s">
        <v>91</v>
      </c>
      <c r="C22" s="17" t="s">
        <v>92</v>
      </c>
      <c r="D22" s="17" t="s">
        <v>93</v>
      </c>
    </row>
    <row r="23" spans="1:4" ht="16.5" thickBot="1" x14ac:dyDescent="0.25">
      <c r="B23" s="18">
        <v>0</v>
      </c>
      <c r="C23" s="23">
        <v>-20000</v>
      </c>
      <c r="D23" s="23">
        <v>-150000</v>
      </c>
    </row>
    <row r="24" spans="1:4" ht="16.5" thickBot="1" x14ac:dyDescent="0.25">
      <c r="B24" s="18">
        <v>1</v>
      </c>
      <c r="C24" s="23">
        <v>15000</v>
      </c>
      <c r="D24" s="23">
        <v>100000</v>
      </c>
    </row>
    <row r="25" spans="1:4" ht="16.5" thickBot="1" x14ac:dyDescent="0.25">
      <c r="B25" s="18">
        <v>2</v>
      </c>
      <c r="C25" s="23">
        <v>10000</v>
      </c>
      <c r="D25" s="23">
        <v>50000</v>
      </c>
    </row>
    <row r="26" spans="1:4" ht="16.5" thickBot="1" x14ac:dyDescent="0.25">
      <c r="B26" s="18">
        <v>3</v>
      </c>
      <c r="C26" s="23">
        <v>5000</v>
      </c>
      <c r="D26" s="23">
        <v>40000</v>
      </c>
    </row>
    <row r="28" spans="1:4" x14ac:dyDescent="0.2">
      <c r="B28" s="2" t="s">
        <v>89</v>
      </c>
      <c r="C28" s="31">
        <f>IRR(C23:C26)</f>
        <v>0.28858434682142464</v>
      </c>
      <c r="D28" s="31">
        <f>IRR(D23:D26)</f>
        <v>0.15510229629323535</v>
      </c>
    </row>
    <row r="29" spans="1:4" x14ac:dyDescent="0.2">
      <c r="B29" s="2" t="s">
        <v>250</v>
      </c>
      <c r="C29" s="32">
        <f>NPV(12%,C24:C26)+C23</f>
        <v>4923.6971574343988</v>
      </c>
      <c r="D29" s="32">
        <f>NPV(12%,D24:D26)+D23</f>
        <v>7616.6180758016999</v>
      </c>
    </row>
    <row r="30" spans="1:4" x14ac:dyDescent="0.2">
      <c r="B30" s="2" t="s">
        <v>251</v>
      </c>
      <c r="C30" s="2"/>
      <c r="D30" s="2"/>
    </row>
    <row r="32" spans="1:4" x14ac:dyDescent="0.2">
      <c r="A32" t="s">
        <v>94</v>
      </c>
    </row>
    <row r="33" spans="2:7" x14ac:dyDescent="0.2">
      <c r="B33" t="s">
        <v>95</v>
      </c>
    </row>
    <row r="35" spans="2:7" x14ac:dyDescent="0.2">
      <c r="B35" t="s">
        <v>96</v>
      </c>
    </row>
    <row r="36" spans="2:7" x14ac:dyDescent="0.2">
      <c r="B36" s="26" t="s">
        <v>91</v>
      </c>
      <c r="C36" s="26">
        <v>0</v>
      </c>
      <c r="D36" s="26">
        <v>1</v>
      </c>
      <c r="E36" s="26">
        <v>2</v>
      </c>
      <c r="F36" s="26">
        <v>3</v>
      </c>
      <c r="G36" s="26">
        <v>4</v>
      </c>
    </row>
    <row r="37" spans="2:7" x14ac:dyDescent="0.2">
      <c r="B37" s="26" t="s">
        <v>97</v>
      </c>
      <c r="C37" s="26">
        <v>-150</v>
      </c>
      <c r="D37" s="26">
        <v>70</v>
      </c>
      <c r="E37" s="26">
        <v>70</v>
      </c>
      <c r="F37" s="26">
        <v>70</v>
      </c>
      <c r="G37" s="26">
        <v>70</v>
      </c>
    </row>
    <row r="39" spans="2:7" x14ac:dyDescent="0.2">
      <c r="B39" t="s">
        <v>98</v>
      </c>
      <c r="D39" s="27">
        <v>0.08</v>
      </c>
    </row>
    <row r="41" spans="2:7" x14ac:dyDescent="0.2">
      <c r="B41" s="2" t="s">
        <v>99</v>
      </c>
      <c r="C41" s="32">
        <f>+NPV(D39,D37:G37)+C37</f>
        <v>81.848878803103247</v>
      </c>
    </row>
    <row r="43" spans="2:7" x14ac:dyDescent="0.2">
      <c r="B43" t="s">
        <v>100</v>
      </c>
    </row>
    <row r="44" spans="2:7" x14ac:dyDescent="0.2">
      <c r="B44" s="26" t="s">
        <v>91</v>
      </c>
      <c r="C44" s="26">
        <v>0</v>
      </c>
      <c r="D44" s="26">
        <v>1</v>
      </c>
      <c r="E44" s="26">
        <v>2</v>
      </c>
      <c r="F44" s="26">
        <v>3</v>
      </c>
      <c r="G44" s="26">
        <v>4</v>
      </c>
    </row>
    <row r="45" spans="2:7" x14ac:dyDescent="0.2">
      <c r="B45" s="26" t="s">
        <v>97</v>
      </c>
      <c r="C45" s="26">
        <v>-150</v>
      </c>
      <c r="D45" s="26">
        <v>140</v>
      </c>
      <c r="E45" s="26">
        <v>140</v>
      </c>
      <c r="F45" s="26">
        <v>140</v>
      </c>
      <c r="G45" s="26">
        <v>140</v>
      </c>
    </row>
    <row r="47" spans="2:7" x14ac:dyDescent="0.2">
      <c r="B47" t="s">
        <v>98</v>
      </c>
      <c r="D47" s="27">
        <v>0.08</v>
      </c>
    </row>
    <row r="49" spans="1:7" x14ac:dyDescent="0.2">
      <c r="B49" s="2" t="s">
        <v>99</v>
      </c>
      <c r="C49" s="32">
        <f>+NPV(D47, D45:G45)+C45</f>
        <v>313.69775760620649</v>
      </c>
    </row>
    <row r="51" spans="1:7" x14ac:dyDescent="0.2">
      <c r="B51" t="s">
        <v>101</v>
      </c>
    </row>
    <row r="52" spans="1:7" x14ac:dyDescent="0.2">
      <c r="B52" s="26" t="s">
        <v>91</v>
      </c>
      <c r="C52" s="26">
        <v>0</v>
      </c>
      <c r="D52" s="26">
        <v>1</v>
      </c>
      <c r="E52" s="26">
        <v>2</v>
      </c>
      <c r="F52" s="26">
        <v>3</v>
      </c>
      <c r="G52" s="26">
        <v>4</v>
      </c>
    </row>
    <row r="53" spans="1:7" x14ac:dyDescent="0.2">
      <c r="B53" s="26" t="s">
        <v>97</v>
      </c>
      <c r="C53" s="26">
        <v>-300</v>
      </c>
      <c r="D53" s="26">
        <v>140</v>
      </c>
      <c r="E53" s="26">
        <v>140</v>
      </c>
      <c r="F53" s="26">
        <v>140</v>
      </c>
      <c r="G53" s="26">
        <v>140</v>
      </c>
    </row>
    <row r="55" spans="1:7" x14ac:dyDescent="0.2">
      <c r="B55" t="s">
        <v>98</v>
      </c>
      <c r="D55" s="27">
        <v>0.08</v>
      </c>
    </row>
    <row r="57" spans="1:7" x14ac:dyDescent="0.2">
      <c r="B57" s="2" t="s">
        <v>99</v>
      </c>
      <c r="C57" s="32">
        <f>+NPV(D55, D53:G53)+C53</f>
        <v>163.69775760620649</v>
      </c>
    </row>
    <row r="60" spans="1:7" x14ac:dyDescent="0.2">
      <c r="A60" t="s">
        <v>102</v>
      </c>
    </row>
    <row r="61" spans="1:7" x14ac:dyDescent="0.2">
      <c r="B61" t="s">
        <v>103</v>
      </c>
    </row>
    <row r="62" spans="1:7" x14ac:dyDescent="0.2">
      <c r="B62" s="26" t="s">
        <v>91</v>
      </c>
      <c r="C62" s="26">
        <v>0</v>
      </c>
      <c r="D62" s="26">
        <v>1</v>
      </c>
      <c r="E62" s="26">
        <v>2</v>
      </c>
      <c r="F62" s="28"/>
    </row>
    <row r="63" spans="1:7" x14ac:dyDescent="0.2">
      <c r="B63" s="26" t="s">
        <v>97</v>
      </c>
      <c r="C63" s="29">
        <v>-750000</v>
      </c>
      <c r="D63" s="29"/>
      <c r="E63" s="29">
        <v>920000</v>
      </c>
      <c r="F63" s="28"/>
    </row>
    <row r="66" spans="1:14" x14ac:dyDescent="0.2">
      <c r="B66" t="s">
        <v>252</v>
      </c>
    </row>
    <row r="67" spans="1:14" x14ac:dyDescent="0.2">
      <c r="B67" s="26" t="s">
        <v>91</v>
      </c>
      <c r="C67" s="26">
        <v>0</v>
      </c>
      <c r="D67" s="26">
        <v>1</v>
      </c>
      <c r="E67" s="26">
        <v>2</v>
      </c>
    </row>
    <row r="68" spans="1:14" x14ac:dyDescent="0.2">
      <c r="B68" s="26" t="s">
        <v>97</v>
      </c>
      <c r="C68" s="29">
        <v>-750000</v>
      </c>
      <c r="D68" s="29">
        <v>450000</v>
      </c>
      <c r="E68" s="29">
        <v>450000</v>
      </c>
    </row>
    <row r="70" spans="1:14" x14ac:dyDescent="0.2">
      <c r="B70" t="s">
        <v>104</v>
      </c>
      <c r="E70" s="27">
        <v>0.1</v>
      </c>
    </row>
    <row r="73" spans="1:14" x14ac:dyDescent="0.2">
      <c r="B73" s="2" t="s">
        <v>105</v>
      </c>
      <c r="C73" s="33">
        <f>+C63+(E63/(1+E70)^E62)</f>
        <v>10330.578512396547</v>
      </c>
    </row>
    <row r="74" spans="1:14" x14ac:dyDescent="0.2">
      <c r="B74" s="2" t="s">
        <v>106</v>
      </c>
      <c r="C74" s="33">
        <f>+C68+(D68/1.1)+(E68/(1.1^E67))</f>
        <v>30991.73553718999</v>
      </c>
      <c r="D74" t="s">
        <v>253</v>
      </c>
    </row>
    <row r="76" spans="1:14" x14ac:dyDescent="0.2">
      <c r="A76" t="s">
        <v>107</v>
      </c>
    </row>
    <row r="78" spans="1:14" x14ac:dyDescent="0.2">
      <c r="A78" t="s">
        <v>108</v>
      </c>
    </row>
    <row r="79" spans="1:14" x14ac:dyDescent="0.2">
      <c r="A79" t="s">
        <v>46</v>
      </c>
      <c r="B79">
        <v>0</v>
      </c>
      <c r="C79">
        <v>1</v>
      </c>
      <c r="D79">
        <v>2</v>
      </c>
      <c r="E79">
        <v>3</v>
      </c>
      <c r="F79">
        <v>4</v>
      </c>
      <c r="G79">
        <v>5</v>
      </c>
      <c r="H79">
        <v>6</v>
      </c>
      <c r="I79">
        <v>7</v>
      </c>
      <c r="J79">
        <v>8</v>
      </c>
      <c r="K79">
        <v>9</v>
      </c>
      <c r="L79">
        <v>10</v>
      </c>
      <c r="M79">
        <v>11</v>
      </c>
      <c r="N79">
        <v>12</v>
      </c>
    </row>
    <row r="80" spans="1:14" x14ac:dyDescent="0.2">
      <c r="A80" t="s">
        <v>109</v>
      </c>
      <c r="B80">
        <v>-9000</v>
      </c>
      <c r="C80">
        <v>-2200</v>
      </c>
      <c r="D80">
        <v>-2200</v>
      </c>
      <c r="E80">
        <v>-2200</v>
      </c>
      <c r="F80">
        <v>-2200</v>
      </c>
      <c r="G80">
        <v>-2200</v>
      </c>
      <c r="H80">
        <v>-2200</v>
      </c>
      <c r="I80">
        <v>-2200</v>
      </c>
      <c r="J80">
        <v>-2200</v>
      </c>
      <c r="K80">
        <v>-2200</v>
      </c>
      <c r="L80">
        <v>-2200</v>
      </c>
      <c r="M80">
        <v>-2200</v>
      </c>
      <c r="N80">
        <v>-2200</v>
      </c>
    </row>
    <row r="82" spans="1:26" x14ac:dyDescent="0.2">
      <c r="A82" t="s">
        <v>110</v>
      </c>
      <c r="B82" s="8">
        <f>+B80/(1+$C$90)^B79</f>
        <v>-9000</v>
      </c>
      <c r="C82" s="8">
        <f t="shared" ref="C82:N82" si="0">+C80/(1+$C$90)^C79</f>
        <v>-2075.4716981132074</v>
      </c>
      <c r="D82" s="8">
        <f t="shared" si="0"/>
        <v>-1957.9921680313275</v>
      </c>
      <c r="E82" s="8">
        <f t="shared" si="0"/>
        <v>-1847.1624226710635</v>
      </c>
      <c r="F82" s="8">
        <f t="shared" si="0"/>
        <v>-1742.6060591236449</v>
      </c>
      <c r="G82" s="8">
        <f t="shared" si="0"/>
        <v>-1643.9679803053252</v>
      </c>
      <c r="H82" s="8">
        <f t="shared" si="0"/>
        <v>-1550.9131889672879</v>
      </c>
      <c r="I82" s="8">
        <f t="shared" si="0"/>
        <v>-1463.1256499691392</v>
      </c>
      <c r="J82" s="8">
        <f t="shared" si="0"/>
        <v>-1380.3072169520183</v>
      </c>
      <c r="K82" s="8">
        <f t="shared" si="0"/>
        <v>-1302.176619766055</v>
      </c>
      <c r="L82" s="8">
        <f t="shared" si="0"/>
        <v>-1228.4685092132593</v>
      </c>
      <c r="M82" s="8">
        <f t="shared" si="0"/>
        <v>-1158.9325558615653</v>
      </c>
      <c r="N82" s="8">
        <f t="shared" si="0"/>
        <v>-1093.3325998694011</v>
      </c>
    </row>
    <row r="83" spans="1:26" x14ac:dyDescent="0.2">
      <c r="A83" s="2" t="s">
        <v>111</v>
      </c>
      <c r="B83" s="33">
        <f>+SUM(B82:N82)</f>
        <v>-27444.456668843293</v>
      </c>
    </row>
    <row r="84" spans="1:26" x14ac:dyDescent="0.2">
      <c r="A84" t="s">
        <v>112</v>
      </c>
    </row>
    <row r="85" spans="1:26" x14ac:dyDescent="0.2">
      <c r="A85" t="s">
        <v>46</v>
      </c>
      <c r="B85">
        <v>0</v>
      </c>
      <c r="C85">
        <v>1</v>
      </c>
      <c r="D85">
        <v>2</v>
      </c>
      <c r="E85">
        <v>3</v>
      </c>
      <c r="F85">
        <v>4</v>
      </c>
      <c r="G85">
        <v>5</v>
      </c>
      <c r="H85">
        <v>6</v>
      </c>
      <c r="I85">
        <v>7</v>
      </c>
      <c r="J85">
        <v>8</v>
      </c>
      <c r="K85">
        <v>9</v>
      </c>
      <c r="L85">
        <v>10</v>
      </c>
      <c r="M85">
        <v>11</v>
      </c>
      <c r="N85">
        <v>12</v>
      </c>
      <c r="O85">
        <v>13</v>
      </c>
      <c r="P85">
        <v>14</v>
      </c>
      <c r="Q85">
        <v>15</v>
      </c>
      <c r="R85">
        <v>16</v>
      </c>
      <c r="S85">
        <v>17</v>
      </c>
      <c r="T85">
        <v>18</v>
      </c>
      <c r="U85">
        <v>19</v>
      </c>
      <c r="V85">
        <v>20</v>
      </c>
      <c r="W85">
        <v>21</v>
      </c>
      <c r="X85">
        <v>22</v>
      </c>
      <c r="Y85">
        <v>23</v>
      </c>
      <c r="Z85">
        <v>24</v>
      </c>
    </row>
    <row r="86" spans="1:26" x14ac:dyDescent="0.2">
      <c r="A86" t="s">
        <v>109</v>
      </c>
      <c r="B86">
        <v>-20000</v>
      </c>
      <c r="C86">
        <v>-1400</v>
      </c>
      <c r="D86">
        <v>-1400</v>
      </c>
      <c r="E86">
        <v>-1400</v>
      </c>
      <c r="F86">
        <v>-1400</v>
      </c>
      <c r="G86">
        <v>-1400</v>
      </c>
      <c r="H86">
        <v>-1400</v>
      </c>
      <c r="I86">
        <v>-1400</v>
      </c>
      <c r="J86">
        <v>-1400</v>
      </c>
      <c r="K86">
        <v>-1400</v>
      </c>
      <c r="L86">
        <v>-1400</v>
      </c>
      <c r="M86">
        <v>-1400</v>
      </c>
      <c r="N86">
        <v>-1400</v>
      </c>
      <c r="O86">
        <v>-1400</v>
      </c>
      <c r="P86">
        <v>-1400</v>
      </c>
      <c r="Q86">
        <v>-1400</v>
      </c>
      <c r="R86">
        <v>-1400</v>
      </c>
      <c r="S86">
        <v>-1400</v>
      </c>
      <c r="T86">
        <v>-1400</v>
      </c>
      <c r="U86">
        <v>-1400</v>
      </c>
      <c r="V86">
        <v>-1400</v>
      </c>
      <c r="W86">
        <v>-1400</v>
      </c>
      <c r="X86">
        <v>-1400</v>
      </c>
      <c r="Y86">
        <v>-1400</v>
      </c>
      <c r="Z86">
        <v>2600</v>
      </c>
    </row>
    <row r="88" spans="1:26" x14ac:dyDescent="0.2">
      <c r="A88" t="s">
        <v>110</v>
      </c>
      <c r="B88" s="8">
        <f>+B86/((1+$C$90)^B85)</f>
        <v>-20000</v>
      </c>
      <c r="C88" s="8">
        <f t="shared" ref="C88:Z88" si="1">+C86/((1+$C$90)^C85)</f>
        <v>-1320.7547169811321</v>
      </c>
      <c r="D88" s="8">
        <f t="shared" si="1"/>
        <v>-1245.9950160199357</v>
      </c>
      <c r="E88" s="8">
        <f t="shared" si="1"/>
        <v>-1175.4669962452222</v>
      </c>
      <c r="F88" s="8">
        <f t="shared" si="1"/>
        <v>-1108.9311285332285</v>
      </c>
      <c r="G88" s="8">
        <f t="shared" si="1"/>
        <v>-1046.1614420124797</v>
      </c>
      <c r="H88" s="8">
        <f t="shared" si="1"/>
        <v>-986.94475661554679</v>
      </c>
      <c r="I88" s="8">
        <f t="shared" si="1"/>
        <v>-931.07995907127042</v>
      </c>
      <c r="J88" s="8">
        <f t="shared" si="1"/>
        <v>-878.37731987855705</v>
      </c>
      <c r="K88" s="8">
        <f t="shared" si="1"/>
        <v>-828.657848942035</v>
      </c>
      <c r="L88" s="8">
        <f t="shared" si="1"/>
        <v>-781.75268768116507</v>
      </c>
      <c r="M88" s="8">
        <f t="shared" si="1"/>
        <v>-737.50253554826872</v>
      </c>
      <c r="N88" s="8">
        <f t="shared" si="1"/>
        <v>-695.75710900780075</v>
      </c>
      <c r="O88" s="8">
        <f t="shared" si="1"/>
        <v>-656.37463113943454</v>
      </c>
      <c r="P88" s="8">
        <f t="shared" si="1"/>
        <v>-619.22135013154207</v>
      </c>
      <c r="Q88" s="8">
        <f t="shared" si="1"/>
        <v>-584.17108502975645</v>
      </c>
      <c r="R88" s="8">
        <f t="shared" si="1"/>
        <v>-551.10479719788361</v>
      </c>
      <c r="S88" s="8">
        <f t="shared" si="1"/>
        <v>-519.91018603573923</v>
      </c>
      <c r="T88" s="8">
        <f t="shared" si="1"/>
        <v>-490.48130758088604</v>
      </c>
      <c r="U88" s="8">
        <f t="shared" si="1"/>
        <v>-462.71821469894905</v>
      </c>
      <c r="V88" s="8">
        <f t="shared" si="1"/>
        <v>-436.526617640518</v>
      </c>
      <c r="W88" s="8">
        <f t="shared" si="1"/>
        <v>-411.81756381180935</v>
      </c>
      <c r="X88" s="8">
        <f t="shared" si="1"/>
        <v>-388.5071356715182</v>
      </c>
      <c r="Y88" s="8">
        <f t="shared" si="1"/>
        <v>-366.51616572784735</v>
      </c>
      <c r="Z88" s="8">
        <f t="shared" si="1"/>
        <v>642.14422566873532</v>
      </c>
    </row>
    <row r="89" spans="1:26" x14ac:dyDescent="0.2">
      <c r="A89" s="2" t="s">
        <v>111</v>
      </c>
      <c r="B89" s="33">
        <f>+SUM(B88:Z88)</f>
        <v>-36582.586345533797</v>
      </c>
    </row>
    <row r="90" spans="1:26" x14ac:dyDescent="0.2">
      <c r="A90" t="s">
        <v>113</v>
      </c>
      <c r="C90" s="27">
        <v>0.06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7" workbookViewId="0">
      <selection activeCell="G5" sqref="G5"/>
    </sheetView>
  </sheetViews>
  <sheetFormatPr defaultRowHeight="15.75" x14ac:dyDescent="0.25"/>
  <cols>
    <col min="1" max="1" width="24.83203125" style="35" bestFit="1" customWidth="1"/>
    <col min="2" max="2" width="20.6640625" style="35" bestFit="1" customWidth="1"/>
    <col min="3" max="3" width="16" style="35" bestFit="1" customWidth="1"/>
    <col min="4" max="4" width="9.1640625" style="35" bestFit="1" customWidth="1"/>
    <col min="5" max="16384" width="9.33203125" style="35"/>
  </cols>
  <sheetData>
    <row r="1" spans="1:4" x14ac:dyDescent="0.25">
      <c r="A1" s="35" t="s">
        <v>114</v>
      </c>
    </row>
    <row r="2" spans="1:4" x14ac:dyDescent="0.25">
      <c r="A2" s="35" t="s">
        <v>115</v>
      </c>
    </row>
    <row r="3" spans="1:4" x14ac:dyDescent="0.25">
      <c r="A3" s="35" t="s">
        <v>116</v>
      </c>
      <c r="B3" s="35" t="s">
        <v>117</v>
      </c>
      <c r="C3" s="35">
        <f>B4*B5*D4</f>
        <v>1000</v>
      </c>
    </row>
    <row r="4" spans="1:4" x14ac:dyDescent="0.25">
      <c r="A4" s="35" t="s">
        <v>0</v>
      </c>
      <c r="B4" s="36">
        <v>0.1</v>
      </c>
      <c r="C4" s="35" t="s">
        <v>20</v>
      </c>
      <c r="D4" s="35">
        <v>5</v>
      </c>
    </row>
    <row r="5" spans="1:4" x14ac:dyDescent="0.25">
      <c r="A5" s="35" t="s">
        <v>118</v>
      </c>
      <c r="B5" s="35">
        <f>+B6/(1+B4*D4)</f>
        <v>2000</v>
      </c>
    </row>
    <row r="6" spans="1:4" x14ac:dyDescent="0.25">
      <c r="A6" s="35" t="s">
        <v>119</v>
      </c>
      <c r="B6" s="35">
        <v>3000</v>
      </c>
    </row>
    <row r="8" spans="1:4" x14ac:dyDescent="0.25">
      <c r="A8" s="35" t="s">
        <v>120</v>
      </c>
    </row>
    <row r="10" spans="1:4" x14ac:dyDescent="0.25">
      <c r="A10" s="35" t="s">
        <v>121</v>
      </c>
      <c r="B10" s="35" t="s">
        <v>122</v>
      </c>
    </row>
    <row r="11" spans="1:4" x14ac:dyDescent="0.25">
      <c r="A11" s="35" t="s">
        <v>0</v>
      </c>
      <c r="B11" s="36">
        <v>0.1</v>
      </c>
    </row>
    <row r="12" spans="1:4" x14ac:dyDescent="0.25">
      <c r="A12" s="35" t="s">
        <v>20</v>
      </c>
      <c r="B12" s="35">
        <v>5</v>
      </c>
    </row>
    <row r="13" spans="1:4" x14ac:dyDescent="0.25">
      <c r="A13" s="35" t="s">
        <v>119</v>
      </c>
      <c r="B13" s="35">
        <v>3000</v>
      </c>
    </row>
    <row r="14" spans="1:4" x14ac:dyDescent="0.25">
      <c r="A14" s="35" t="s">
        <v>121</v>
      </c>
      <c r="B14" s="35">
        <f>B11*B12*B13</f>
        <v>1500</v>
      </c>
    </row>
    <row r="18" spans="1:3" x14ac:dyDescent="0.25">
      <c r="A18" s="35" t="s">
        <v>90</v>
      </c>
    </row>
    <row r="19" spans="1:3" x14ac:dyDescent="0.25">
      <c r="A19" s="35" t="s">
        <v>123</v>
      </c>
      <c r="B19" s="35" t="s">
        <v>122</v>
      </c>
    </row>
    <row r="20" spans="1:3" x14ac:dyDescent="0.25">
      <c r="A20" s="35" t="s">
        <v>124</v>
      </c>
      <c r="B20" s="35" t="s">
        <v>117</v>
      </c>
    </row>
    <row r="22" spans="1:3" x14ac:dyDescent="0.25">
      <c r="A22" s="35" t="s">
        <v>125</v>
      </c>
      <c r="B22" s="36">
        <v>0.1</v>
      </c>
      <c r="C22" s="35" t="s">
        <v>126</v>
      </c>
    </row>
    <row r="23" spans="1:3" x14ac:dyDescent="0.25">
      <c r="A23" s="35" t="s">
        <v>20</v>
      </c>
      <c r="B23" s="35">
        <v>0.5</v>
      </c>
      <c r="C23" s="35" t="s">
        <v>46</v>
      </c>
    </row>
    <row r="25" spans="1:3" x14ac:dyDescent="0.25">
      <c r="A25" s="35" t="s">
        <v>127</v>
      </c>
      <c r="B25" s="35">
        <v>635.5</v>
      </c>
    </row>
    <row r="27" spans="1:3" x14ac:dyDescent="0.25">
      <c r="A27" s="35" t="s">
        <v>123</v>
      </c>
      <c r="B27" s="35" t="s">
        <v>128</v>
      </c>
    </row>
    <row r="28" spans="1:3" x14ac:dyDescent="0.25">
      <c r="A28" s="35" t="s">
        <v>123</v>
      </c>
      <c r="B28" s="35" t="s">
        <v>129</v>
      </c>
    </row>
    <row r="30" spans="1:3" x14ac:dyDescent="0.25">
      <c r="A30" s="35" t="s">
        <v>130</v>
      </c>
      <c r="B30" s="35" t="s">
        <v>131</v>
      </c>
    </row>
    <row r="31" spans="1:3" x14ac:dyDescent="0.25">
      <c r="B31" s="35" t="s">
        <v>132</v>
      </c>
      <c r="C31" s="35">
        <f>1+(B22*B23)</f>
        <v>1.05</v>
      </c>
    </row>
    <row r="32" spans="1:3" x14ac:dyDescent="0.25">
      <c r="A32" s="35" t="s">
        <v>130</v>
      </c>
      <c r="B32" s="35" t="s">
        <v>133</v>
      </c>
    </row>
    <row r="33" spans="1:4" x14ac:dyDescent="0.25">
      <c r="B33" s="35" t="s">
        <v>134</v>
      </c>
      <c r="C33" s="35">
        <v>635.5</v>
      </c>
    </row>
    <row r="34" spans="1:4" x14ac:dyDescent="0.25">
      <c r="B34" s="35" t="s">
        <v>124</v>
      </c>
      <c r="C34" s="35">
        <f>+C33/2.05</f>
        <v>310</v>
      </c>
    </row>
    <row r="35" spans="1:4" x14ac:dyDescent="0.25">
      <c r="B35" s="35" t="s">
        <v>123</v>
      </c>
      <c r="C35" s="35">
        <f>C33-C34</f>
        <v>325.5</v>
      </c>
    </row>
    <row r="36" spans="1:4" x14ac:dyDescent="0.25">
      <c r="B36" s="35" t="s">
        <v>123</v>
      </c>
      <c r="C36" s="35" t="s">
        <v>122</v>
      </c>
    </row>
    <row r="37" spans="1:4" x14ac:dyDescent="0.25">
      <c r="C37" s="35" t="s">
        <v>135</v>
      </c>
      <c r="D37" s="35" t="s">
        <v>136</v>
      </c>
    </row>
    <row r="38" spans="1:4" x14ac:dyDescent="0.25">
      <c r="B38" s="35" t="s">
        <v>119</v>
      </c>
      <c r="C38" s="35">
        <f>C35/0.05</f>
        <v>6510</v>
      </c>
    </row>
    <row r="40" spans="1:4" x14ac:dyDescent="0.25">
      <c r="A40" s="35" t="s">
        <v>94</v>
      </c>
    </row>
    <row r="41" spans="1:4" x14ac:dyDescent="0.25">
      <c r="A41" s="35" t="s">
        <v>137</v>
      </c>
      <c r="B41" s="35" t="s">
        <v>138</v>
      </c>
    </row>
    <row r="42" spans="1:4" x14ac:dyDescent="0.25">
      <c r="A42" s="35" t="s">
        <v>139</v>
      </c>
      <c r="B42" s="35" t="s">
        <v>140</v>
      </c>
    </row>
    <row r="43" spans="1:4" x14ac:dyDescent="0.25">
      <c r="A43" s="35" t="s">
        <v>125</v>
      </c>
      <c r="B43" s="36">
        <v>0.15</v>
      </c>
      <c r="C43" s="35" t="s">
        <v>126</v>
      </c>
    </row>
    <row r="44" spans="1:4" x14ac:dyDescent="0.25">
      <c r="A44" s="35" t="s">
        <v>141</v>
      </c>
      <c r="B44" s="35">
        <f>270/360</f>
        <v>0.75</v>
      </c>
      <c r="C44" s="35" t="s">
        <v>46</v>
      </c>
    </row>
    <row r="45" spans="1:4" x14ac:dyDescent="0.25">
      <c r="A45" s="35" t="s">
        <v>142</v>
      </c>
      <c r="B45" s="35">
        <f>160/360</f>
        <v>0.44444444444444442</v>
      </c>
      <c r="C45" s="35" t="s">
        <v>46</v>
      </c>
    </row>
    <row r="47" spans="1:4" x14ac:dyDescent="0.25">
      <c r="A47" s="35" t="s">
        <v>143</v>
      </c>
      <c r="B47" s="35" t="s">
        <v>144</v>
      </c>
    </row>
    <row r="48" spans="1:4" x14ac:dyDescent="0.25">
      <c r="A48" s="37" t="s">
        <v>145</v>
      </c>
      <c r="B48" s="35">
        <v>382.5</v>
      </c>
    </row>
    <row r="49" spans="1:5" x14ac:dyDescent="0.25">
      <c r="A49" s="35" t="s">
        <v>137</v>
      </c>
      <c r="B49" s="35" t="s">
        <v>146</v>
      </c>
      <c r="D49" s="35">
        <f>+B43*B44</f>
        <v>0.11249999999999999</v>
      </c>
      <c r="E49" s="35">
        <f>+D49*C52</f>
        <v>202.49999999999997</v>
      </c>
    </row>
    <row r="50" spans="1:5" x14ac:dyDescent="0.25">
      <c r="A50" s="35" t="s">
        <v>139</v>
      </c>
      <c r="B50" s="35" t="s">
        <v>147</v>
      </c>
      <c r="D50" s="35">
        <f>B43*B45*1.5</f>
        <v>0.1</v>
      </c>
      <c r="E50" s="35">
        <f>+D50*C52</f>
        <v>180</v>
      </c>
    </row>
    <row r="51" spans="1:5" x14ac:dyDescent="0.25">
      <c r="D51" s="35">
        <f>D49+D50</f>
        <v>0.21249999999999999</v>
      </c>
    </row>
    <row r="52" spans="1:5" x14ac:dyDescent="0.25">
      <c r="B52" s="35" t="s">
        <v>119</v>
      </c>
      <c r="C52" s="35">
        <f>+B48/D51</f>
        <v>1800</v>
      </c>
    </row>
    <row r="55" spans="1:5" x14ac:dyDescent="0.25">
      <c r="A55" s="35" t="s">
        <v>148</v>
      </c>
    </row>
    <row r="56" spans="1:5" x14ac:dyDescent="0.25">
      <c r="A56" s="35" t="s">
        <v>123</v>
      </c>
      <c r="B56" s="35" t="s">
        <v>122</v>
      </c>
    </row>
    <row r="57" spans="1:5" x14ac:dyDescent="0.25">
      <c r="A57" s="35" t="s">
        <v>124</v>
      </c>
      <c r="B57" s="35" t="s">
        <v>117</v>
      </c>
    </row>
    <row r="59" spans="1:5" x14ac:dyDescent="0.25">
      <c r="A59" s="35" t="s">
        <v>125</v>
      </c>
      <c r="B59" s="36">
        <v>0.12</v>
      </c>
    </row>
    <row r="60" spans="1:5" x14ac:dyDescent="0.25">
      <c r="A60" s="35" t="s">
        <v>20</v>
      </c>
      <c r="B60" s="35">
        <f>80/360</f>
        <v>0.22222222222222221</v>
      </c>
    </row>
    <row r="62" spans="1:5" x14ac:dyDescent="0.25">
      <c r="A62" s="35" t="s">
        <v>149</v>
      </c>
      <c r="B62" s="35">
        <v>64</v>
      </c>
    </row>
    <row r="64" spans="1:5" x14ac:dyDescent="0.25">
      <c r="A64" s="35" t="s">
        <v>150</v>
      </c>
      <c r="B64" s="35" t="s">
        <v>151</v>
      </c>
      <c r="C64" s="35">
        <f>+B59*B60</f>
        <v>2.6666666666666665E-2</v>
      </c>
    </row>
    <row r="65" spans="1:2" x14ac:dyDescent="0.25">
      <c r="A65" s="35" t="s">
        <v>124</v>
      </c>
      <c r="B65" s="35">
        <f>+B62/C64</f>
        <v>2400</v>
      </c>
    </row>
    <row r="66" spans="1:2" x14ac:dyDescent="0.25">
      <c r="A66" s="35" t="s">
        <v>123</v>
      </c>
      <c r="B66" s="35">
        <f>+B65+B62</f>
        <v>2464</v>
      </c>
    </row>
    <row r="67" spans="1:2" x14ac:dyDescent="0.25">
      <c r="A67" s="35" t="s">
        <v>3</v>
      </c>
      <c r="B67" s="35" t="s">
        <v>152</v>
      </c>
    </row>
    <row r="68" spans="1:2" x14ac:dyDescent="0.25">
      <c r="A68" s="35" t="s">
        <v>3</v>
      </c>
      <c r="B68" s="35">
        <f>B66/(B59*B60)</f>
        <v>92400</v>
      </c>
    </row>
  </sheetData>
  <hyperlinks>
    <hyperlink ref="A48" r:id="rId1" display="Df1+DF@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5"/>
  <sheetViews>
    <sheetView tabSelected="1" workbookViewId="0"/>
  </sheetViews>
  <sheetFormatPr defaultRowHeight="15.75" x14ac:dyDescent="0.25"/>
  <cols>
    <col min="1" max="1" width="28" style="38" customWidth="1"/>
    <col min="2" max="2" width="25" style="38" customWidth="1"/>
    <col min="3" max="3" width="16.6640625" style="38" customWidth="1"/>
    <col min="4" max="4" width="15.1640625" style="38" customWidth="1"/>
    <col min="5" max="5" width="13" style="38" customWidth="1"/>
    <col min="6" max="6" width="9.6640625" style="38" bestFit="1" customWidth="1"/>
    <col min="7" max="7" width="12.5" style="38" bestFit="1" customWidth="1"/>
    <col min="8" max="8" width="26.33203125" style="38" customWidth="1"/>
    <col min="9" max="9" width="26" style="38" customWidth="1"/>
    <col min="10" max="256" width="9.33203125" style="38"/>
    <col min="257" max="257" width="13.6640625" style="38" customWidth="1"/>
    <col min="258" max="258" width="15.5" style="38" customWidth="1"/>
    <col min="259" max="259" width="14.5" style="38" bestFit="1" customWidth="1"/>
    <col min="260" max="260" width="17.83203125" style="38" customWidth="1"/>
    <col min="261" max="263" width="9.33203125" style="38"/>
    <col min="264" max="264" width="26.33203125" style="38" customWidth="1"/>
    <col min="265" max="265" width="26" style="38" customWidth="1"/>
    <col min="266" max="512" width="9.33203125" style="38"/>
    <col min="513" max="513" width="13.6640625" style="38" customWidth="1"/>
    <col min="514" max="514" width="15.5" style="38" customWidth="1"/>
    <col min="515" max="515" width="14.5" style="38" bestFit="1" customWidth="1"/>
    <col min="516" max="516" width="17.83203125" style="38" customWidth="1"/>
    <col min="517" max="519" width="9.33203125" style="38"/>
    <col min="520" max="520" width="26.33203125" style="38" customWidth="1"/>
    <col min="521" max="521" width="26" style="38" customWidth="1"/>
    <col min="522" max="768" width="9.33203125" style="38"/>
    <col min="769" max="769" width="13.6640625" style="38" customWidth="1"/>
    <col min="770" max="770" width="15.5" style="38" customWidth="1"/>
    <col min="771" max="771" width="14.5" style="38" bestFit="1" customWidth="1"/>
    <col min="772" max="772" width="17.83203125" style="38" customWidth="1"/>
    <col min="773" max="775" width="9.33203125" style="38"/>
    <col min="776" max="776" width="26.33203125" style="38" customWidth="1"/>
    <col min="777" max="777" width="26" style="38" customWidth="1"/>
    <col min="778" max="1024" width="9.33203125" style="38"/>
    <col min="1025" max="1025" width="13.6640625" style="38" customWidth="1"/>
    <col min="1026" max="1026" width="15.5" style="38" customWidth="1"/>
    <col min="1027" max="1027" width="14.5" style="38" bestFit="1" customWidth="1"/>
    <col min="1028" max="1028" width="17.83203125" style="38" customWidth="1"/>
    <col min="1029" max="1031" width="9.33203125" style="38"/>
    <col min="1032" max="1032" width="26.33203125" style="38" customWidth="1"/>
    <col min="1033" max="1033" width="26" style="38" customWidth="1"/>
    <col min="1034" max="1280" width="9.33203125" style="38"/>
    <col min="1281" max="1281" width="13.6640625" style="38" customWidth="1"/>
    <col min="1282" max="1282" width="15.5" style="38" customWidth="1"/>
    <col min="1283" max="1283" width="14.5" style="38" bestFit="1" customWidth="1"/>
    <col min="1284" max="1284" width="17.83203125" style="38" customWidth="1"/>
    <col min="1285" max="1287" width="9.33203125" style="38"/>
    <col min="1288" max="1288" width="26.33203125" style="38" customWidth="1"/>
    <col min="1289" max="1289" width="26" style="38" customWidth="1"/>
    <col min="1290" max="1536" width="9.33203125" style="38"/>
    <col min="1537" max="1537" width="13.6640625" style="38" customWidth="1"/>
    <col min="1538" max="1538" width="15.5" style="38" customWidth="1"/>
    <col min="1539" max="1539" width="14.5" style="38" bestFit="1" customWidth="1"/>
    <col min="1540" max="1540" width="17.83203125" style="38" customWidth="1"/>
    <col min="1541" max="1543" width="9.33203125" style="38"/>
    <col min="1544" max="1544" width="26.33203125" style="38" customWidth="1"/>
    <col min="1545" max="1545" width="26" style="38" customWidth="1"/>
    <col min="1546" max="1792" width="9.33203125" style="38"/>
    <col min="1793" max="1793" width="13.6640625" style="38" customWidth="1"/>
    <col min="1794" max="1794" width="15.5" style="38" customWidth="1"/>
    <col min="1795" max="1795" width="14.5" style="38" bestFit="1" customWidth="1"/>
    <col min="1796" max="1796" width="17.83203125" style="38" customWidth="1"/>
    <col min="1797" max="1799" width="9.33203125" style="38"/>
    <col min="1800" max="1800" width="26.33203125" style="38" customWidth="1"/>
    <col min="1801" max="1801" width="26" style="38" customWidth="1"/>
    <col min="1802" max="2048" width="9.33203125" style="38"/>
    <col min="2049" max="2049" width="13.6640625" style="38" customWidth="1"/>
    <col min="2050" max="2050" width="15.5" style="38" customWidth="1"/>
    <col min="2051" max="2051" width="14.5" style="38" bestFit="1" customWidth="1"/>
    <col min="2052" max="2052" width="17.83203125" style="38" customWidth="1"/>
    <col min="2053" max="2055" width="9.33203125" style="38"/>
    <col min="2056" max="2056" width="26.33203125" style="38" customWidth="1"/>
    <col min="2057" max="2057" width="26" style="38" customWidth="1"/>
    <col min="2058" max="2304" width="9.33203125" style="38"/>
    <col min="2305" max="2305" width="13.6640625" style="38" customWidth="1"/>
    <col min="2306" max="2306" width="15.5" style="38" customWidth="1"/>
    <col min="2307" max="2307" width="14.5" style="38" bestFit="1" customWidth="1"/>
    <col min="2308" max="2308" width="17.83203125" style="38" customWidth="1"/>
    <col min="2309" max="2311" width="9.33203125" style="38"/>
    <col min="2312" max="2312" width="26.33203125" style="38" customWidth="1"/>
    <col min="2313" max="2313" width="26" style="38" customWidth="1"/>
    <col min="2314" max="2560" width="9.33203125" style="38"/>
    <col min="2561" max="2561" width="13.6640625" style="38" customWidth="1"/>
    <col min="2562" max="2562" width="15.5" style="38" customWidth="1"/>
    <col min="2563" max="2563" width="14.5" style="38" bestFit="1" customWidth="1"/>
    <col min="2564" max="2564" width="17.83203125" style="38" customWidth="1"/>
    <col min="2565" max="2567" width="9.33203125" style="38"/>
    <col min="2568" max="2568" width="26.33203125" style="38" customWidth="1"/>
    <col min="2569" max="2569" width="26" style="38" customWidth="1"/>
    <col min="2570" max="2816" width="9.33203125" style="38"/>
    <col min="2817" max="2817" width="13.6640625" style="38" customWidth="1"/>
    <col min="2818" max="2818" width="15.5" style="38" customWidth="1"/>
    <col min="2819" max="2819" width="14.5" style="38" bestFit="1" customWidth="1"/>
    <col min="2820" max="2820" width="17.83203125" style="38" customWidth="1"/>
    <col min="2821" max="2823" width="9.33203125" style="38"/>
    <col min="2824" max="2824" width="26.33203125" style="38" customWidth="1"/>
    <col min="2825" max="2825" width="26" style="38" customWidth="1"/>
    <col min="2826" max="3072" width="9.33203125" style="38"/>
    <col min="3073" max="3073" width="13.6640625" style="38" customWidth="1"/>
    <col min="3074" max="3074" width="15.5" style="38" customWidth="1"/>
    <col min="3075" max="3075" width="14.5" style="38" bestFit="1" customWidth="1"/>
    <col min="3076" max="3076" width="17.83203125" style="38" customWidth="1"/>
    <col min="3077" max="3079" width="9.33203125" style="38"/>
    <col min="3080" max="3080" width="26.33203125" style="38" customWidth="1"/>
    <col min="3081" max="3081" width="26" style="38" customWidth="1"/>
    <col min="3082" max="3328" width="9.33203125" style="38"/>
    <col min="3329" max="3329" width="13.6640625" style="38" customWidth="1"/>
    <col min="3330" max="3330" width="15.5" style="38" customWidth="1"/>
    <col min="3331" max="3331" width="14.5" style="38" bestFit="1" customWidth="1"/>
    <col min="3332" max="3332" width="17.83203125" style="38" customWidth="1"/>
    <col min="3333" max="3335" width="9.33203125" style="38"/>
    <col min="3336" max="3336" width="26.33203125" style="38" customWidth="1"/>
    <col min="3337" max="3337" width="26" style="38" customWidth="1"/>
    <col min="3338" max="3584" width="9.33203125" style="38"/>
    <col min="3585" max="3585" width="13.6640625" style="38" customWidth="1"/>
    <col min="3586" max="3586" width="15.5" style="38" customWidth="1"/>
    <col min="3587" max="3587" width="14.5" style="38" bestFit="1" customWidth="1"/>
    <col min="3588" max="3588" width="17.83203125" style="38" customWidth="1"/>
    <col min="3589" max="3591" width="9.33203125" style="38"/>
    <col min="3592" max="3592" width="26.33203125" style="38" customWidth="1"/>
    <col min="3593" max="3593" width="26" style="38" customWidth="1"/>
    <col min="3594" max="3840" width="9.33203125" style="38"/>
    <col min="3841" max="3841" width="13.6640625" style="38" customWidth="1"/>
    <col min="3842" max="3842" width="15.5" style="38" customWidth="1"/>
    <col min="3843" max="3843" width="14.5" style="38" bestFit="1" customWidth="1"/>
    <col min="3844" max="3844" width="17.83203125" style="38" customWidth="1"/>
    <col min="3845" max="3847" width="9.33203125" style="38"/>
    <col min="3848" max="3848" width="26.33203125" style="38" customWidth="1"/>
    <col min="3849" max="3849" width="26" style="38" customWidth="1"/>
    <col min="3850" max="4096" width="9.33203125" style="38"/>
    <col min="4097" max="4097" width="13.6640625" style="38" customWidth="1"/>
    <col min="4098" max="4098" width="15.5" style="38" customWidth="1"/>
    <col min="4099" max="4099" width="14.5" style="38" bestFit="1" customWidth="1"/>
    <col min="4100" max="4100" width="17.83203125" style="38" customWidth="1"/>
    <col min="4101" max="4103" width="9.33203125" style="38"/>
    <col min="4104" max="4104" width="26.33203125" style="38" customWidth="1"/>
    <col min="4105" max="4105" width="26" style="38" customWidth="1"/>
    <col min="4106" max="4352" width="9.33203125" style="38"/>
    <col min="4353" max="4353" width="13.6640625" style="38" customWidth="1"/>
    <col min="4354" max="4354" width="15.5" style="38" customWidth="1"/>
    <col min="4355" max="4355" width="14.5" style="38" bestFit="1" customWidth="1"/>
    <col min="4356" max="4356" width="17.83203125" style="38" customWidth="1"/>
    <col min="4357" max="4359" width="9.33203125" style="38"/>
    <col min="4360" max="4360" width="26.33203125" style="38" customWidth="1"/>
    <col min="4361" max="4361" width="26" style="38" customWidth="1"/>
    <col min="4362" max="4608" width="9.33203125" style="38"/>
    <col min="4609" max="4609" width="13.6640625" style="38" customWidth="1"/>
    <col min="4610" max="4610" width="15.5" style="38" customWidth="1"/>
    <col min="4611" max="4611" width="14.5" style="38" bestFit="1" customWidth="1"/>
    <col min="4612" max="4612" width="17.83203125" style="38" customWidth="1"/>
    <col min="4613" max="4615" width="9.33203125" style="38"/>
    <col min="4616" max="4616" width="26.33203125" style="38" customWidth="1"/>
    <col min="4617" max="4617" width="26" style="38" customWidth="1"/>
    <col min="4618" max="4864" width="9.33203125" style="38"/>
    <col min="4865" max="4865" width="13.6640625" style="38" customWidth="1"/>
    <col min="4866" max="4866" width="15.5" style="38" customWidth="1"/>
    <col min="4867" max="4867" width="14.5" style="38" bestFit="1" customWidth="1"/>
    <col min="4868" max="4868" width="17.83203125" style="38" customWidth="1"/>
    <col min="4869" max="4871" width="9.33203125" style="38"/>
    <col min="4872" max="4872" width="26.33203125" style="38" customWidth="1"/>
    <col min="4873" max="4873" width="26" style="38" customWidth="1"/>
    <col min="4874" max="5120" width="9.33203125" style="38"/>
    <col min="5121" max="5121" width="13.6640625" style="38" customWidth="1"/>
    <col min="5122" max="5122" width="15.5" style="38" customWidth="1"/>
    <col min="5123" max="5123" width="14.5" style="38" bestFit="1" customWidth="1"/>
    <col min="5124" max="5124" width="17.83203125" style="38" customWidth="1"/>
    <col min="5125" max="5127" width="9.33203125" style="38"/>
    <col min="5128" max="5128" width="26.33203125" style="38" customWidth="1"/>
    <col min="5129" max="5129" width="26" style="38" customWidth="1"/>
    <col min="5130" max="5376" width="9.33203125" style="38"/>
    <col min="5377" max="5377" width="13.6640625" style="38" customWidth="1"/>
    <col min="5378" max="5378" width="15.5" style="38" customWidth="1"/>
    <col min="5379" max="5379" width="14.5" style="38" bestFit="1" customWidth="1"/>
    <col min="5380" max="5380" width="17.83203125" style="38" customWidth="1"/>
    <col min="5381" max="5383" width="9.33203125" style="38"/>
    <col min="5384" max="5384" width="26.33203125" style="38" customWidth="1"/>
    <col min="5385" max="5385" width="26" style="38" customWidth="1"/>
    <col min="5386" max="5632" width="9.33203125" style="38"/>
    <col min="5633" max="5633" width="13.6640625" style="38" customWidth="1"/>
    <col min="5634" max="5634" width="15.5" style="38" customWidth="1"/>
    <col min="5635" max="5635" width="14.5" style="38" bestFit="1" customWidth="1"/>
    <col min="5636" max="5636" width="17.83203125" style="38" customWidth="1"/>
    <col min="5637" max="5639" width="9.33203125" style="38"/>
    <col min="5640" max="5640" width="26.33203125" style="38" customWidth="1"/>
    <col min="5641" max="5641" width="26" style="38" customWidth="1"/>
    <col min="5642" max="5888" width="9.33203125" style="38"/>
    <col min="5889" max="5889" width="13.6640625" style="38" customWidth="1"/>
    <col min="5890" max="5890" width="15.5" style="38" customWidth="1"/>
    <col min="5891" max="5891" width="14.5" style="38" bestFit="1" customWidth="1"/>
    <col min="5892" max="5892" width="17.83203125" style="38" customWidth="1"/>
    <col min="5893" max="5895" width="9.33203125" style="38"/>
    <col min="5896" max="5896" width="26.33203125" style="38" customWidth="1"/>
    <col min="5897" max="5897" width="26" style="38" customWidth="1"/>
    <col min="5898" max="6144" width="9.33203125" style="38"/>
    <col min="6145" max="6145" width="13.6640625" style="38" customWidth="1"/>
    <col min="6146" max="6146" width="15.5" style="38" customWidth="1"/>
    <col min="6147" max="6147" width="14.5" style="38" bestFit="1" customWidth="1"/>
    <col min="6148" max="6148" width="17.83203125" style="38" customWidth="1"/>
    <col min="6149" max="6151" width="9.33203125" style="38"/>
    <col min="6152" max="6152" width="26.33203125" style="38" customWidth="1"/>
    <col min="6153" max="6153" width="26" style="38" customWidth="1"/>
    <col min="6154" max="6400" width="9.33203125" style="38"/>
    <col min="6401" max="6401" width="13.6640625" style="38" customWidth="1"/>
    <col min="6402" max="6402" width="15.5" style="38" customWidth="1"/>
    <col min="6403" max="6403" width="14.5" style="38" bestFit="1" customWidth="1"/>
    <col min="6404" max="6404" width="17.83203125" style="38" customWidth="1"/>
    <col min="6405" max="6407" width="9.33203125" style="38"/>
    <col min="6408" max="6408" width="26.33203125" style="38" customWidth="1"/>
    <col min="6409" max="6409" width="26" style="38" customWidth="1"/>
    <col min="6410" max="6656" width="9.33203125" style="38"/>
    <col min="6657" max="6657" width="13.6640625" style="38" customWidth="1"/>
    <col min="6658" max="6658" width="15.5" style="38" customWidth="1"/>
    <col min="6659" max="6659" width="14.5" style="38" bestFit="1" customWidth="1"/>
    <col min="6660" max="6660" width="17.83203125" style="38" customWidth="1"/>
    <col min="6661" max="6663" width="9.33203125" style="38"/>
    <col min="6664" max="6664" width="26.33203125" style="38" customWidth="1"/>
    <col min="6665" max="6665" width="26" style="38" customWidth="1"/>
    <col min="6666" max="6912" width="9.33203125" style="38"/>
    <col min="6913" max="6913" width="13.6640625" style="38" customWidth="1"/>
    <col min="6914" max="6914" width="15.5" style="38" customWidth="1"/>
    <col min="6915" max="6915" width="14.5" style="38" bestFit="1" customWidth="1"/>
    <col min="6916" max="6916" width="17.83203125" style="38" customWidth="1"/>
    <col min="6917" max="6919" width="9.33203125" style="38"/>
    <col min="6920" max="6920" width="26.33203125" style="38" customWidth="1"/>
    <col min="6921" max="6921" width="26" style="38" customWidth="1"/>
    <col min="6922" max="7168" width="9.33203125" style="38"/>
    <col min="7169" max="7169" width="13.6640625" style="38" customWidth="1"/>
    <col min="7170" max="7170" width="15.5" style="38" customWidth="1"/>
    <col min="7171" max="7171" width="14.5" style="38" bestFit="1" customWidth="1"/>
    <col min="7172" max="7172" width="17.83203125" style="38" customWidth="1"/>
    <col min="7173" max="7175" width="9.33203125" style="38"/>
    <col min="7176" max="7176" width="26.33203125" style="38" customWidth="1"/>
    <col min="7177" max="7177" width="26" style="38" customWidth="1"/>
    <col min="7178" max="7424" width="9.33203125" style="38"/>
    <col min="7425" max="7425" width="13.6640625" style="38" customWidth="1"/>
    <col min="7426" max="7426" width="15.5" style="38" customWidth="1"/>
    <col min="7427" max="7427" width="14.5" style="38" bestFit="1" customWidth="1"/>
    <col min="7428" max="7428" width="17.83203125" style="38" customWidth="1"/>
    <col min="7429" max="7431" width="9.33203125" style="38"/>
    <col min="7432" max="7432" width="26.33203125" style="38" customWidth="1"/>
    <col min="7433" max="7433" width="26" style="38" customWidth="1"/>
    <col min="7434" max="7680" width="9.33203125" style="38"/>
    <col min="7681" max="7681" width="13.6640625" style="38" customWidth="1"/>
    <col min="7682" max="7682" width="15.5" style="38" customWidth="1"/>
    <col min="7683" max="7683" width="14.5" style="38" bestFit="1" customWidth="1"/>
    <col min="7684" max="7684" width="17.83203125" style="38" customWidth="1"/>
    <col min="7685" max="7687" width="9.33203125" style="38"/>
    <col min="7688" max="7688" width="26.33203125" style="38" customWidth="1"/>
    <col min="7689" max="7689" width="26" style="38" customWidth="1"/>
    <col min="7690" max="7936" width="9.33203125" style="38"/>
    <col min="7937" max="7937" width="13.6640625" style="38" customWidth="1"/>
    <col min="7938" max="7938" width="15.5" style="38" customWidth="1"/>
    <col min="7939" max="7939" width="14.5" style="38" bestFit="1" customWidth="1"/>
    <col min="7940" max="7940" width="17.83203125" style="38" customWidth="1"/>
    <col min="7941" max="7943" width="9.33203125" style="38"/>
    <col min="7944" max="7944" width="26.33203125" style="38" customWidth="1"/>
    <col min="7945" max="7945" width="26" style="38" customWidth="1"/>
    <col min="7946" max="8192" width="9.33203125" style="38"/>
    <col min="8193" max="8193" width="13.6640625" style="38" customWidth="1"/>
    <col min="8194" max="8194" width="15.5" style="38" customWidth="1"/>
    <col min="8195" max="8195" width="14.5" style="38" bestFit="1" customWidth="1"/>
    <col min="8196" max="8196" width="17.83203125" style="38" customWidth="1"/>
    <col min="8197" max="8199" width="9.33203125" style="38"/>
    <col min="8200" max="8200" width="26.33203125" style="38" customWidth="1"/>
    <col min="8201" max="8201" width="26" style="38" customWidth="1"/>
    <col min="8202" max="8448" width="9.33203125" style="38"/>
    <col min="8449" max="8449" width="13.6640625" style="38" customWidth="1"/>
    <col min="8450" max="8450" width="15.5" style="38" customWidth="1"/>
    <col min="8451" max="8451" width="14.5" style="38" bestFit="1" customWidth="1"/>
    <col min="8452" max="8452" width="17.83203125" style="38" customWidth="1"/>
    <col min="8453" max="8455" width="9.33203125" style="38"/>
    <col min="8456" max="8456" width="26.33203125" style="38" customWidth="1"/>
    <col min="8457" max="8457" width="26" style="38" customWidth="1"/>
    <col min="8458" max="8704" width="9.33203125" style="38"/>
    <col min="8705" max="8705" width="13.6640625" style="38" customWidth="1"/>
    <col min="8706" max="8706" width="15.5" style="38" customWidth="1"/>
    <col min="8707" max="8707" width="14.5" style="38" bestFit="1" customWidth="1"/>
    <col min="8708" max="8708" width="17.83203125" style="38" customWidth="1"/>
    <col min="8709" max="8711" width="9.33203125" style="38"/>
    <col min="8712" max="8712" width="26.33203125" style="38" customWidth="1"/>
    <col min="8713" max="8713" width="26" style="38" customWidth="1"/>
    <col min="8714" max="8960" width="9.33203125" style="38"/>
    <col min="8961" max="8961" width="13.6640625" style="38" customWidth="1"/>
    <col min="8962" max="8962" width="15.5" style="38" customWidth="1"/>
    <col min="8963" max="8963" width="14.5" style="38" bestFit="1" customWidth="1"/>
    <col min="8964" max="8964" width="17.83203125" style="38" customWidth="1"/>
    <col min="8965" max="8967" width="9.33203125" style="38"/>
    <col min="8968" max="8968" width="26.33203125" style="38" customWidth="1"/>
    <col min="8969" max="8969" width="26" style="38" customWidth="1"/>
    <col min="8970" max="9216" width="9.33203125" style="38"/>
    <col min="9217" max="9217" width="13.6640625" style="38" customWidth="1"/>
    <col min="9218" max="9218" width="15.5" style="38" customWidth="1"/>
    <col min="9219" max="9219" width="14.5" style="38" bestFit="1" customWidth="1"/>
    <col min="9220" max="9220" width="17.83203125" style="38" customWidth="1"/>
    <col min="9221" max="9223" width="9.33203125" style="38"/>
    <col min="9224" max="9224" width="26.33203125" style="38" customWidth="1"/>
    <col min="9225" max="9225" width="26" style="38" customWidth="1"/>
    <col min="9226" max="9472" width="9.33203125" style="38"/>
    <col min="9473" max="9473" width="13.6640625" style="38" customWidth="1"/>
    <col min="9474" max="9474" width="15.5" style="38" customWidth="1"/>
    <col min="9475" max="9475" width="14.5" style="38" bestFit="1" customWidth="1"/>
    <col min="9476" max="9476" width="17.83203125" style="38" customWidth="1"/>
    <col min="9477" max="9479" width="9.33203125" style="38"/>
    <col min="9480" max="9480" width="26.33203125" style="38" customWidth="1"/>
    <col min="9481" max="9481" width="26" style="38" customWidth="1"/>
    <col min="9482" max="9728" width="9.33203125" style="38"/>
    <col min="9729" max="9729" width="13.6640625" style="38" customWidth="1"/>
    <col min="9730" max="9730" width="15.5" style="38" customWidth="1"/>
    <col min="9731" max="9731" width="14.5" style="38" bestFit="1" customWidth="1"/>
    <col min="9732" max="9732" width="17.83203125" style="38" customWidth="1"/>
    <col min="9733" max="9735" width="9.33203125" style="38"/>
    <col min="9736" max="9736" width="26.33203125" style="38" customWidth="1"/>
    <col min="9737" max="9737" width="26" style="38" customWidth="1"/>
    <col min="9738" max="9984" width="9.33203125" style="38"/>
    <col min="9985" max="9985" width="13.6640625" style="38" customWidth="1"/>
    <col min="9986" max="9986" width="15.5" style="38" customWidth="1"/>
    <col min="9987" max="9987" width="14.5" style="38" bestFit="1" customWidth="1"/>
    <col min="9988" max="9988" width="17.83203125" style="38" customWidth="1"/>
    <col min="9989" max="9991" width="9.33203125" style="38"/>
    <col min="9992" max="9992" width="26.33203125" style="38" customWidth="1"/>
    <col min="9993" max="9993" width="26" style="38" customWidth="1"/>
    <col min="9994" max="10240" width="9.33203125" style="38"/>
    <col min="10241" max="10241" width="13.6640625" style="38" customWidth="1"/>
    <col min="10242" max="10242" width="15.5" style="38" customWidth="1"/>
    <col min="10243" max="10243" width="14.5" style="38" bestFit="1" customWidth="1"/>
    <col min="10244" max="10244" width="17.83203125" style="38" customWidth="1"/>
    <col min="10245" max="10247" width="9.33203125" style="38"/>
    <col min="10248" max="10248" width="26.33203125" style="38" customWidth="1"/>
    <col min="10249" max="10249" width="26" style="38" customWidth="1"/>
    <col min="10250" max="10496" width="9.33203125" style="38"/>
    <col min="10497" max="10497" width="13.6640625" style="38" customWidth="1"/>
    <col min="10498" max="10498" width="15.5" style="38" customWidth="1"/>
    <col min="10499" max="10499" width="14.5" style="38" bestFit="1" customWidth="1"/>
    <col min="10500" max="10500" width="17.83203125" style="38" customWidth="1"/>
    <col min="10501" max="10503" width="9.33203125" style="38"/>
    <col min="10504" max="10504" width="26.33203125" style="38" customWidth="1"/>
    <col min="10505" max="10505" width="26" style="38" customWidth="1"/>
    <col min="10506" max="10752" width="9.33203125" style="38"/>
    <col min="10753" max="10753" width="13.6640625" style="38" customWidth="1"/>
    <col min="10754" max="10754" width="15.5" style="38" customWidth="1"/>
    <col min="10755" max="10755" width="14.5" style="38" bestFit="1" customWidth="1"/>
    <col min="10756" max="10756" width="17.83203125" style="38" customWidth="1"/>
    <col min="10757" max="10759" width="9.33203125" style="38"/>
    <col min="10760" max="10760" width="26.33203125" style="38" customWidth="1"/>
    <col min="10761" max="10761" width="26" style="38" customWidth="1"/>
    <col min="10762" max="11008" width="9.33203125" style="38"/>
    <col min="11009" max="11009" width="13.6640625" style="38" customWidth="1"/>
    <col min="11010" max="11010" width="15.5" style="38" customWidth="1"/>
    <col min="11011" max="11011" width="14.5" style="38" bestFit="1" customWidth="1"/>
    <col min="11012" max="11012" width="17.83203125" style="38" customWidth="1"/>
    <col min="11013" max="11015" width="9.33203125" style="38"/>
    <col min="11016" max="11016" width="26.33203125" style="38" customWidth="1"/>
    <col min="11017" max="11017" width="26" style="38" customWidth="1"/>
    <col min="11018" max="11264" width="9.33203125" style="38"/>
    <col min="11265" max="11265" width="13.6640625" style="38" customWidth="1"/>
    <col min="11266" max="11266" width="15.5" style="38" customWidth="1"/>
    <col min="11267" max="11267" width="14.5" style="38" bestFit="1" customWidth="1"/>
    <col min="11268" max="11268" width="17.83203125" style="38" customWidth="1"/>
    <col min="11269" max="11271" width="9.33203125" style="38"/>
    <col min="11272" max="11272" width="26.33203125" style="38" customWidth="1"/>
    <col min="11273" max="11273" width="26" style="38" customWidth="1"/>
    <col min="11274" max="11520" width="9.33203125" style="38"/>
    <col min="11521" max="11521" width="13.6640625" style="38" customWidth="1"/>
    <col min="11522" max="11522" width="15.5" style="38" customWidth="1"/>
    <col min="11523" max="11523" width="14.5" style="38" bestFit="1" customWidth="1"/>
    <col min="11524" max="11524" width="17.83203125" style="38" customWidth="1"/>
    <col min="11525" max="11527" width="9.33203125" style="38"/>
    <col min="11528" max="11528" width="26.33203125" style="38" customWidth="1"/>
    <col min="11529" max="11529" width="26" style="38" customWidth="1"/>
    <col min="11530" max="11776" width="9.33203125" style="38"/>
    <col min="11777" max="11777" width="13.6640625" style="38" customWidth="1"/>
    <col min="11778" max="11778" width="15.5" style="38" customWidth="1"/>
    <col min="11779" max="11779" width="14.5" style="38" bestFit="1" customWidth="1"/>
    <col min="11780" max="11780" width="17.83203125" style="38" customWidth="1"/>
    <col min="11781" max="11783" width="9.33203125" style="38"/>
    <col min="11784" max="11784" width="26.33203125" style="38" customWidth="1"/>
    <col min="11785" max="11785" width="26" style="38" customWidth="1"/>
    <col min="11786" max="12032" width="9.33203125" style="38"/>
    <col min="12033" max="12033" width="13.6640625" style="38" customWidth="1"/>
    <col min="12034" max="12034" width="15.5" style="38" customWidth="1"/>
    <col min="12035" max="12035" width="14.5" style="38" bestFit="1" customWidth="1"/>
    <col min="12036" max="12036" width="17.83203125" style="38" customWidth="1"/>
    <col min="12037" max="12039" width="9.33203125" style="38"/>
    <col min="12040" max="12040" width="26.33203125" style="38" customWidth="1"/>
    <col min="12041" max="12041" width="26" style="38" customWidth="1"/>
    <col min="12042" max="12288" width="9.33203125" style="38"/>
    <col min="12289" max="12289" width="13.6640625" style="38" customWidth="1"/>
    <col min="12290" max="12290" width="15.5" style="38" customWidth="1"/>
    <col min="12291" max="12291" width="14.5" style="38" bestFit="1" customWidth="1"/>
    <col min="12292" max="12292" width="17.83203125" style="38" customWidth="1"/>
    <col min="12293" max="12295" width="9.33203125" style="38"/>
    <col min="12296" max="12296" width="26.33203125" style="38" customWidth="1"/>
    <col min="12297" max="12297" width="26" style="38" customWidth="1"/>
    <col min="12298" max="12544" width="9.33203125" style="38"/>
    <col min="12545" max="12545" width="13.6640625" style="38" customWidth="1"/>
    <col min="12546" max="12546" width="15.5" style="38" customWidth="1"/>
    <col min="12547" max="12547" width="14.5" style="38" bestFit="1" customWidth="1"/>
    <col min="12548" max="12548" width="17.83203125" style="38" customWidth="1"/>
    <col min="12549" max="12551" width="9.33203125" style="38"/>
    <col min="12552" max="12552" width="26.33203125" style="38" customWidth="1"/>
    <col min="12553" max="12553" width="26" style="38" customWidth="1"/>
    <col min="12554" max="12800" width="9.33203125" style="38"/>
    <col min="12801" max="12801" width="13.6640625" style="38" customWidth="1"/>
    <col min="12802" max="12802" width="15.5" style="38" customWidth="1"/>
    <col min="12803" max="12803" width="14.5" style="38" bestFit="1" customWidth="1"/>
    <col min="12804" max="12804" width="17.83203125" style="38" customWidth="1"/>
    <col min="12805" max="12807" width="9.33203125" style="38"/>
    <col min="12808" max="12808" width="26.33203125" style="38" customWidth="1"/>
    <col min="12809" max="12809" width="26" style="38" customWidth="1"/>
    <col min="12810" max="13056" width="9.33203125" style="38"/>
    <col min="13057" max="13057" width="13.6640625" style="38" customWidth="1"/>
    <col min="13058" max="13058" width="15.5" style="38" customWidth="1"/>
    <col min="13059" max="13059" width="14.5" style="38" bestFit="1" customWidth="1"/>
    <col min="13060" max="13060" width="17.83203125" style="38" customWidth="1"/>
    <col min="13061" max="13063" width="9.33203125" style="38"/>
    <col min="13064" max="13064" width="26.33203125" style="38" customWidth="1"/>
    <col min="13065" max="13065" width="26" style="38" customWidth="1"/>
    <col min="13066" max="13312" width="9.33203125" style="38"/>
    <col min="13313" max="13313" width="13.6640625" style="38" customWidth="1"/>
    <col min="13314" max="13314" width="15.5" style="38" customWidth="1"/>
    <col min="13315" max="13315" width="14.5" style="38" bestFit="1" customWidth="1"/>
    <col min="13316" max="13316" width="17.83203125" style="38" customWidth="1"/>
    <col min="13317" max="13319" width="9.33203125" style="38"/>
    <col min="13320" max="13320" width="26.33203125" style="38" customWidth="1"/>
    <col min="13321" max="13321" width="26" style="38" customWidth="1"/>
    <col min="13322" max="13568" width="9.33203125" style="38"/>
    <col min="13569" max="13569" width="13.6640625" style="38" customWidth="1"/>
    <col min="13570" max="13570" width="15.5" style="38" customWidth="1"/>
    <col min="13571" max="13571" width="14.5" style="38" bestFit="1" customWidth="1"/>
    <col min="13572" max="13572" width="17.83203125" style="38" customWidth="1"/>
    <col min="13573" max="13575" width="9.33203125" style="38"/>
    <col min="13576" max="13576" width="26.33203125" style="38" customWidth="1"/>
    <col min="13577" max="13577" width="26" style="38" customWidth="1"/>
    <col min="13578" max="13824" width="9.33203125" style="38"/>
    <col min="13825" max="13825" width="13.6640625" style="38" customWidth="1"/>
    <col min="13826" max="13826" width="15.5" style="38" customWidth="1"/>
    <col min="13827" max="13827" width="14.5" style="38" bestFit="1" customWidth="1"/>
    <col min="13828" max="13828" width="17.83203125" style="38" customWidth="1"/>
    <col min="13829" max="13831" width="9.33203125" style="38"/>
    <col min="13832" max="13832" width="26.33203125" style="38" customWidth="1"/>
    <col min="13833" max="13833" width="26" style="38" customWidth="1"/>
    <col min="13834" max="14080" width="9.33203125" style="38"/>
    <col min="14081" max="14081" width="13.6640625" style="38" customWidth="1"/>
    <col min="14082" max="14082" width="15.5" style="38" customWidth="1"/>
    <col min="14083" max="14083" width="14.5" style="38" bestFit="1" customWidth="1"/>
    <col min="14084" max="14084" width="17.83203125" style="38" customWidth="1"/>
    <col min="14085" max="14087" width="9.33203125" style="38"/>
    <col min="14088" max="14088" width="26.33203125" style="38" customWidth="1"/>
    <col min="14089" max="14089" width="26" style="38" customWidth="1"/>
    <col min="14090" max="14336" width="9.33203125" style="38"/>
    <col min="14337" max="14337" width="13.6640625" style="38" customWidth="1"/>
    <col min="14338" max="14338" width="15.5" style="38" customWidth="1"/>
    <col min="14339" max="14339" width="14.5" style="38" bestFit="1" customWidth="1"/>
    <col min="14340" max="14340" width="17.83203125" style="38" customWidth="1"/>
    <col min="14341" max="14343" width="9.33203125" style="38"/>
    <col min="14344" max="14344" width="26.33203125" style="38" customWidth="1"/>
    <col min="14345" max="14345" width="26" style="38" customWidth="1"/>
    <col min="14346" max="14592" width="9.33203125" style="38"/>
    <col min="14593" max="14593" width="13.6640625" style="38" customWidth="1"/>
    <col min="14594" max="14594" width="15.5" style="38" customWidth="1"/>
    <col min="14595" max="14595" width="14.5" style="38" bestFit="1" customWidth="1"/>
    <col min="14596" max="14596" width="17.83203125" style="38" customWidth="1"/>
    <col min="14597" max="14599" width="9.33203125" style="38"/>
    <col min="14600" max="14600" width="26.33203125" style="38" customWidth="1"/>
    <col min="14601" max="14601" width="26" style="38" customWidth="1"/>
    <col min="14602" max="14848" width="9.33203125" style="38"/>
    <col min="14849" max="14849" width="13.6640625" style="38" customWidth="1"/>
    <col min="14850" max="14850" width="15.5" style="38" customWidth="1"/>
    <col min="14851" max="14851" width="14.5" style="38" bestFit="1" customWidth="1"/>
    <col min="14852" max="14852" width="17.83203125" style="38" customWidth="1"/>
    <col min="14853" max="14855" width="9.33203125" style="38"/>
    <col min="14856" max="14856" width="26.33203125" style="38" customWidth="1"/>
    <col min="14857" max="14857" width="26" style="38" customWidth="1"/>
    <col min="14858" max="15104" width="9.33203125" style="38"/>
    <col min="15105" max="15105" width="13.6640625" style="38" customWidth="1"/>
    <col min="15106" max="15106" width="15.5" style="38" customWidth="1"/>
    <col min="15107" max="15107" width="14.5" style="38" bestFit="1" customWidth="1"/>
    <col min="15108" max="15108" width="17.83203125" style="38" customWidth="1"/>
    <col min="15109" max="15111" width="9.33203125" style="38"/>
    <col min="15112" max="15112" width="26.33203125" style="38" customWidth="1"/>
    <col min="15113" max="15113" width="26" style="38" customWidth="1"/>
    <col min="15114" max="15360" width="9.33203125" style="38"/>
    <col min="15361" max="15361" width="13.6640625" style="38" customWidth="1"/>
    <col min="15362" max="15362" width="15.5" style="38" customWidth="1"/>
    <col min="15363" max="15363" width="14.5" style="38" bestFit="1" customWidth="1"/>
    <col min="15364" max="15364" width="17.83203125" style="38" customWidth="1"/>
    <col min="15365" max="15367" width="9.33203125" style="38"/>
    <col min="15368" max="15368" width="26.33203125" style="38" customWidth="1"/>
    <col min="15369" max="15369" width="26" style="38" customWidth="1"/>
    <col min="15370" max="15616" width="9.33203125" style="38"/>
    <col min="15617" max="15617" width="13.6640625" style="38" customWidth="1"/>
    <col min="15618" max="15618" width="15.5" style="38" customWidth="1"/>
    <col min="15619" max="15619" width="14.5" style="38" bestFit="1" customWidth="1"/>
    <col min="15620" max="15620" width="17.83203125" style="38" customWidth="1"/>
    <col min="15621" max="15623" width="9.33203125" style="38"/>
    <col min="15624" max="15624" width="26.33203125" style="38" customWidth="1"/>
    <col min="15625" max="15625" width="26" style="38" customWidth="1"/>
    <col min="15626" max="15872" width="9.33203125" style="38"/>
    <col min="15873" max="15873" width="13.6640625" style="38" customWidth="1"/>
    <col min="15874" max="15874" width="15.5" style="38" customWidth="1"/>
    <col min="15875" max="15875" width="14.5" style="38" bestFit="1" customWidth="1"/>
    <col min="15876" max="15876" width="17.83203125" style="38" customWidth="1"/>
    <col min="15877" max="15879" width="9.33203125" style="38"/>
    <col min="15880" max="15880" width="26.33203125" style="38" customWidth="1"/>
    <col min="15881" max="15881" width="26" style="38" customWidth="1"/>
    <col min="15882" max="16128" width="9.33203125" style="38"/>
    <col min="16129" max="16129" width="13.6640625" style="38" customWidth="1"/>
    <col min="16130" max="16130" width="15.5" style="38" customWidth="1"/>
    <col min="16131" max="16131" width="14.5" style="38" bestFit="1" customWidth="1"/>
    <col min="16132" max="16132" width="17.83203125" style="38" customWidth="1"/>
    <col min="16133" max="16135" width="9.33203125" style="38"/>
    <col min="16136" max="16136" width="26.33203125" style="38" customWidth="1"/>
    <col min="16137" max="16137" width="26" style="38" customWidth="1"/>
    <col min="16138" max="16384" width="9.33203125" style="38"/>
  </cols>
  <sheetData>
    <row r="2" spans="1:4" x14ac:dyDescent="0.25">
      <c r="A2" s="38" t="s">
        <v>79</v>
      </c>
      <c r="B2" s="38" t="s">
        <v>37</v>
      </c>
      <c r="C2" s="38">
        <v>0.02</v>
      </c>
    </row>
    <row r="4" spans="1:4" x14ac:dyDescent="0.25">
      <c r="A4" s="38" t="s">
        <v>97</v>
      </c>
    </row>
    <row r="5" spans="1:4" x14ac:dyDescent="0.25">
      <c r="A5" s="38">
        <v>0</v>
      </c>
      <c r="B5" s="38">
        <v>0</v>
      </c>
      <c r="C5" s="38" t="s">
        <v>153</v>
      </c>
    </row>
    <row r="6" spans="1:4" x14ac:dyDescent="0.25">
      <c r="A6" s="38">
        <v>1</v>
      </c>
      <c r="B6" s="38">
        <v>1000</v>
      </c>
      <c r="C6" s="38">
        <f>$A$17-A6</f>
        <v>11</v>
      </c>
      <c r="D6" s="38">
        <f>B6*(1+$C$2)^C6</f>
        <v>1243.374308394652</v>
      </c>
    </row>
    <row r="7" spans="1:4" x14ac:dyDescent="0.25">
      <c r="A7" s="38">
        <v>2</v>
      </c>
      <c r="B7" s="38">
        <v>1000</v>
      </c>
      <c r="C7" s="38">
        <f t="shared" ref="C7:C17" si="0">$A$17-A7</f>
        <v>10</v>
      </c>
      <c r="D7" s="38">
        <f t="shared" ref="D7:D17" si="1">B7*(1+$C$2)^C7</f>
        <v>1218.9944199947572</v>
      </c>
    </row>
    <row r="8" spans="1:4" x14ac:dyDescent="0.25">
      <c r="A8" s="38">
        <v>3</v>
      </c>
      <c r="B8" s="38">
        <v>1000</v>
      </c>
      <c r="C8" s="38">
        <f t="shared" si="0"/>
        <v>9</v>
      </c>
      <c r="D8" s="38">
        <f t="shared" si="1"/>
        <v>1195.0925686223109</v>
      </c>
    </row>
    <row r="9" spans="1:4" x14ac:dyDescent="0.25">
      <c r="A9" s="38">
        <v>4</v>
      </c>
      <c r="B9" s="38">
        <v>1000</v>
      </c>
      <c r="C9" s="38">
        <f t="shared" si="0"/>
        <v>8</v>
      </c>
      <c r="D9" s="38">
        <f t="shared" si="1"/>
        <v>1171.6593810022655</v>
      </c>
    </row>
    <row r="10" spans="1:4" x14ac:dyDescent="0.25">
      <c r="A10" s="38">
        <v>5</v>
      </c>
      <c r="B10" s="38">
        <v>2000</v>
      </c>
      <c r="C10" s="38">
        <f t="shared" si="0"/>
        <v>7</v>
      </c>
      <c r="D10" s="38">
        <f t="shared" si="1"/>
        <v>2297.3713352985596</v>
      </c>
    </row>
    <row r="11" spans="1:4" x14ac:dyDescent="0.25">
      <c r="A11" s="38">
        <v>6</v>
      </c>
      <c r="B11" s="38">
        <v>2000</v>
      </c>
      <c r="C11" s="38">
        <f t="shared" si="0"/>
        <v>6</v>
      </c>
      <c r="D11" s="38">
        <f t="shared" si="1"/>
        <v>2252.3248385280003</v>
      </c>
    </row>
    <row r="12" spans="1:4" x14ac:dyDescent="0.25">
      <c r="A12" s="38">
        <v>7</v>
      </c>
      <c r="B12" s="38">
        <v>2000</v>
      </c>
      <c r="C12" s="38">
        <f t="shared" si="0"/>
        <v>5</v>
      </c>
      <c r="D12" s="38">
        <f t="shared" si="1"/>
        <v>2208.1616064</v>
      </c>
    </row>
    <row r="13" spans="1:4" x14ac:dyDescent="0.25">
      <c r="A13" s="38">
        <v>8</v>
      </c>
      <c r="B13" s="38">
        <v>2000</v>
      </c>
      <c r="C13" s="38">
        <f t="shared" si="0"/>
        <v>4</v>
      </c>
      <c r="D13" s="38">
        <f t="shared" si="1"/>
        <v>2164.8643200000001</v>
      </c>
    </row>
    <row r="14" spans="1:4" x14ac:dyDescent="0.25">
      <c r="A14" s="38">
        <v>9</v>
      </c>
      <c r="B14" s="38">
        <v>3000</v>
      </c>
      <c r="C14" s="38">
        <f t="shared" si="0"/>
        <v>3</v>
      </c>
      <c r="D14" s="38">
        <f t="shared" si="1"/>
        <v>3183.6239999999998</v>
      </c>
    </row>
    <row r="15" spans="1:4" x14ac:dyDescent="0.25">
      <c r="A15" s="38">
        <v>10</v>
      </c>
      <c r="B15" s="38">
        <v>3000</v>
      </c>
      <c r="C15" s="38">
        <f t="shared" si="0"/>
        <v>2</v>
      </c>
      <c r="D15" s="38">
        <f t="shared" si="1"/>
        <v>3121.2</v>
      </c>
    </row>
    <row r="16" spans="1:4" x14ac:dyDescent="0.25">
      <c r="A16" s="38">
        <v>11</v>
      </c>
      <c r="B16" s="38">
        <v>3000</v>
      </c>
      <c r="C16" s="38">
        <f t="shared" si="0"/>
        <v>1</v>
      </c>
      <c r="D16" s="38">
        <f t="shared" si="1"/>
        <v>3060</v>
      </c>
    </row>
    <row r="17" spans="1:4" x14ac:dyDescent="0.25">
      <c r="A17" s="38">
        <v>12</v>
      </c>
      <c r="B17" s="38">
        <v>3000</v>
      </c>
      <c r="C17" s="38">
        <f t="shared" si="0"/>
        <v>0</v>
      </c>
      <c r="D17" s="38">
        <f t="shared" si="1"/>
        <v>3000</v>
      </c>
    </row>
    <row r="18" spans="1:4" x14ac:dyDescent="0.25">
      <c r="D18" s="38">
        <f>SUM(D6:D17)</f>
        <v>26116.666778240546</v>
      </c>
    </row>
    <row r="20" spans="1:4" x14ac:dyDescent="0.25">
      <c r="A20" s="38" t="s">
        <v>88</v>
      </c>
      <c r="B20" s="38" t="s">
        <v>37</v>
      </c>
      <c r="C20" s="38">
        <v>0.03</v>
      </c>
    </row>
    <row r="21" spans="1:4" x14ac:dyDescent="0.25">
      <c r="A21" s="38">
        <v>0</v>
      </c>
      <c r="B21" s="38">
        <v>20000</v>
      </c>
      <c r="C21" s="38">
        <f>+B21/(1+$C$20)^A21</f>
        <v>20000</v>
      </c>
    </row>
    <row r="22" spans="1:4" x14ac:dyDescent="0.25">
      <c r="A22" s="38">
        <v>1</v>
      </c>
      <c r="B22" s="38">
        <v>10185</v>
      </c>
      <c r="C22" s="38">
        <f>+B22/(1+$C$20)^A22</f>
        <v>9888.3495145631059</v>
      </c>
    </row>
    <row r="23" spans="1:4" x14ac:dyDescent="0.25">
      <c r="A23" s="38">
        <v>2</v>
      </c>
      <c r="B23" s="38">
        <v>0</v>
      </c>
      <c r="C23" s="38">
        <f>+B23/(1+$C$20)^A23</f>
        <v>0</v>
      </c>
    </row>
    <row r="24" spans="1:4" x14ac:dyDescent="0.25">
      <c r="A24" s="38">
        <v>3</v>
      </c>
      <c r="B24" s="38">
        <v>31200</v>
      </c>
      <c r="C24" s="38">
        <f>+B24/(1+$C$20)^A24</f>
        <v>28552.419771818579</v>
      </c>
    </row>
    <row r="25" spans="1:4" x14ac:dyDescent="0.25">
      <c r="C25" s="39">
        <f>SUM(C20:C24)</f>
        <v>58440.799286381683</v>
      </c>
    </row>
    <row r="27" spans="1:4" x14ac:dyDescent="0.25">
      <c r="C27" s="38">
        <f>C25*(1+C20)^A23</f>
        <v>61999.843962922329</v>
      </c>
    </row>
    <row r="29" spans="1:4" x14ac:dyDescent="0.25">
      <c r="A29" s="38" t="s">
        <v>90</v>
      </c>
    </row>
    <row r="30" spans="1:4" x14ac:dyDescent="0.25">
      <c r="A30" s="38" t="s">
        <v>154</v>
      </c>
      <c r="C30" s="38">
        <v>12500</v>
      </c>
      <c r="D30" s="38">
        <v>0.5</v>
      </c>
    </row>
    <row r="31" spans="1:4" x14ac:dyDescent="0.25">
      <c r="C31" s="38">
        <v>2300</v>
      </c>
      <c r="D31" s="38" t="s">
        <v>155</v>
      </c>
    </row>
    <row r="32" spans="1:4" x14ac:dyDescent="0.25">
      <c r="C32" s="38">
        <v>200</v>
      </c>
      <c r="D32" s="38" t="s">
        <v>156</v>
      </c>
    </row>
    <row r="33" spans="1:5" x14ac:dyDescent="0.25">
      <c r="A33" s="38" t="s">
        <v>157</v>
      </c>
      <c r="C33" s="38">
        <f>SUM(C30:C32)</f>
        <v>15000</v>
      </c>
    </row>
    <row r="34" spans="1:5" x14ac:dyDescent="0.25">
      <c r="A34" s="38" t="s">
        <v>158</v>
      </c>
      <c r="C34" s="38">
        <f>PMT(B36,B35,-C33,0,0)</f>
        <v>1418.393949344272</v>
      </c>
    </row>
    <row r="35" spans="1:5" x14ac:dyDescent="0.25">
      <c r="A35" s="38" t="s">
        <v>20</v>
      </c>
      <c r="B35" s="38">
        <v>12</v>
      </c>
    </row>
    <row r="36" spans="1:5" x14ac:dyDescent="0.25">
      <c r="A36" s="38" t="s">
        <v>0</v>
      </c>
      <c r="B36" s="38">
        <v>0.02</v>
      </c>
    </row>
    <row r="39" spans="1:5" x14ac:dyDescent="0.25">
      <c r="A39" s="38" t="s">
        <v>94</v>
      </c>
      <c r="B39" s="38" t="s">
        <v>37</v>
      </c>
      <c r="C39" s="38">
        <v>2.1605177168523265E-2</v>
      </c>
      <c r="E39" s="38" t="s">
        <v>159</v>
      </c>
    </row>
    <row r="40" spans="1:5" x14ac:dyDescent="0.25">
      <c r="A40" s="38" t="s">
        <v>97</v>
      </c>
    </row>
    <row r="41" spans="1:5" x14ac:dyDescent="0.25">
      <c r="A41" s="38">
        <v>0</v>
      </c>
      <c r="B41" s="38">
        <v>2500</v>
      </c>
      <c r="C41" s="38">
        <f>B41*(1+$C$39)^($A$89-A41)</f>
        <v>6974.7411540370858</v>
      </c>
    </row>
    <row r="42" spans="1:5" x14ac:dyDescent="0.25">
      <c r="A42" s="38">
        <v>1</v>
      </c>
      <c r="B42" s="38">
        <v>290</v>
      </c>
      <c r="C42" s="38">
        <f t="shared" ref="C42:C89" si="2">B42*(1+$C$39)^($A$89-A42)</f>
        <v>791.95954753353635</v>
      </c>
    </row>
    <row r="43" spans="1:5" x14ac:dyDescent="0.25">
      <c r="A43" s="38">
        <v>2</v>
      </c>
      <c r="B43" s="38">
        <v>290</v>
      </c>
      <c r="C43" s="38">
        <f t="shared" si="2"/>
        <v>775.21097703178077</v>
      </c>
    </row>
    <row r="44" spans="1:5" x14ac:dyDescent="0.25">
      <c r="A44" s="38">
        <v>3</v>
      </c>
      <c r="B44" s="38">
        <v>290</v>
      </c>
      <c r="C44" s="38">
        <f t="shared" si="2"/>
        <v>758.81660973993121</v>
      </c>
    </row>
    <row r="45" spans="1:5" x14ac:dyDescent="0.25">
      <c r="A45" s="38">
        <v>4</v>
      </c>
      <c r="B45" s="38">
        <v>290</v>
      </c>
      <c r="C45" s="38">
        <f t="shared" si="2"/>
        <v>742.76895487458694</v>
      </c>
    </row>
    <row r="46" spans="1:5" x14ac:dyDescent="0.25">
      <c r="A46" s="38">
        <v>5</v>
      </c>
      <c r="B46" s="38">
        <v>290</v>
      </c>
      <c r="C46" s="38">
        <f t="shared" si="2"/>
        <v>727.06068006942007</v>
      </c>
    </row>
    <row r="47" spans="1:5" x14ac:dyDescent="0.25">
      <c r="A47" s="38">
        <v>6</v>
      </c>
      <c r="B47" s="38">
        <v>290</v>
      </c>
      <c r="C47" s="38">
        <f t="shared" si="2"/>
        <v>711.6846080249303</v>
      </c>
    </row>
    <row r="48" spans="1:5" x14ac:dyDescent="0.25">
      <c r="A48" s="38">
        <v>7</v>
      </c>
      <c r="B48" s="38">
        <v>290</v>
      </c>
      <c r="C48" s="38">
        <f t="shared" si="2"/>
        <v>696.63371322905061</v>
      </c>
    </row>
    <row r="49" spans="1:3" x14ac:dyDescent="0.25">
      <c r="A49" s="38">
        <v>8</v>
      </c>
      <c r="B49" s="38">
        <v>290</v>
      </c>
      <c r="C49" s="38">
        <f t="shared" si="2"/>
        <v>681.9011187471051</v>
      </c>
    </row>
    <row r="50" spans="1:3" x14ac:dyDescent="0.25">
      <c r="A50" s="38">
        <v>9</v>
      </c>
      <c r="B50" s="38">
        <v>290</v>
      </c>
      <c r="C50" s="38">
        <f t="shared" si="2"/>
        <v>667.48009307965674</v>
      </c>
    </row>
    <row r="51" spans="1:3" x14ac:dyDescent="0.25">
      <c r="A51" s="38">
        <v>10</v>
      </c>
      <c r="B51" s="38">
        <v>290</v>
      </c>
      <c r="C51" s="38">
        <f t="shared" si="2"/>
        <v>653.364047086803</v>
      </c>
    </row>
    <row r="52" spans="1:3" x14ac:dyDescent="0.25">
      <c r="A52" s="38">
        <v>11</v>
      </c>
      <c r="B52" s="38">
        <v>290</v>
      </c>
      <c r="C52" s="38">
        <f t="shared" si="2"/>
        <v>639.54653097751907</v>
      </c>
    </row>
    <row r="53" spans="1:3" x14ac:dyDescent="0.25">
      <c r="A53" s="38">
        <v>12</v>
      </c>
      <c r="B53" s="38">
        <v>290</v>
      </c>
      <c r="C53" s="38">
        <f t="shared" si="2"/>
        <v>626.02123136267153</v>
      </c>
    </row>
    <row r="54" spans="1:3" x14ac:dyDescent="0.25">
      <c r="A54" s="38">
        <v>13</v>
      </c>
      <c r="B54" s="38">
        <v>290</v>
      </c>
      <c r="C54" s="38">
        <f t="shared" si="2"/>
        <v>612.78196837035352</v>
      </c>
    </row>
    <row r="55" spans="1:3" x14ac:dyDescent="0.25">
      <c r="A55" s="38">
        <v>14</v>
      </c>
      <c r="B55" s="38">
        <v>290</v>
      </c>
      <c r="C55" s="38">
        <f t="shared" si="2"/>
        <v>599.82269282222865</v>
      </c>
    </row>
    <row r="56" spans="1:3" x14ac:dyDescent="0.25">
      <c r="A56" s="38">
        <v>15</v>
      </c>
      <c r="B56" s="38">
        <v>290</v>
      </c>
      <c r="C56" s="38">
        <f t="shared" si="2"/>
        <v>587.13748346958721</v>
      </c>
    </row>
    <row r="57" spans="1:3" x14ac:dyDescent="0.25">
      <c r="A57" s="38">
        <v>16</v>
      </c>
      <c r="B57" s="38">
        <v>290</v>
      </c>
      <c r="C57" s="38">
        <f t="shared" si="2"/>
        <v>574.72054428785805</v>
      </c>
    </row>
    <row r="58" spans="1:3" x14ac:dyDescent="0.25">
      <c r="A58" s="38">
        <v>17</v>
      </c>
      <c r="B58" s="38">
        <v>290</v>
      </c>
      <c r="C58" s="38">
        <f t="shared" si="2"/>
        <v>562.56620182833376</v>
      </c>
    </row>
    <row r="59" spans="1:3" x14ac:dyDescent="0.25">
      <c r="A59" s="38">
        <v>18</v>
      </c>
      <c r="B59" s="38">
        <v>290</v>
      </c>
      <c r="C59" s="38">
        <f t="shared" si="2"/>
        <v>550.66890262590471</v>
      </c>
    </row>
    <row r="60" spans="1:3" x14ac:dyDescent="0.25">
      <c r="A60" s="38">
        <v>19</v>
      </c>
      <c r="B60" s="38">
        <v>290</v>
      </c>
      <c r="C60" s="38">
        <f t="shared" si="2"/>
        <v>539.02321066161426</v>
      </c>
    </row>
    <row r="61" spans="1:3" x14ac:dyDescent="0.25">
      <c r="A61" s="38">
        <v>20</v>
      </c>
      <c r="B61" s="38">
        <v>290</v>
      </c>
      <c r="C61" s="38">
        <f t="shared" si="2"/>
        <v>527.62380487887572</v>
      </c>
    </row>
    <row r="62" spans="1:3" x14ac:dyDescent="0.25">
      <c r="A62" s="38">
        <v>21</v>
      </c>
      <c r="B62" s="38">
        <v>290</v>
      </c>
      <c r="C62" s="38">
        <f t="shared" si="2"/>
        <v>516.46547675221825</v>
      </c>
    </row>
    <row r="63" spans="1:3" x14ac:dyDescent="0.25">
      <c r="A63" s="38">
        <v>22</v>
      </c>
      <c r="B63" s="38">
        <v>290</v>
      </c>
      <c r="C63" s="38">
        <f t="shared" si="2"/>
        <v>505.54312790744837</v>
      </c>
    </row>
    <row r="64" spans="1:3" x14ac:dyDescent="0.25">
      <c r="A64" s="38">
        <v>23</v>
      </c>
      <c r="B64" s="38">
        <v>290</v>
      </c>
      <c r="C64" s="38">
        <f t="shared" si="2"/>
        <v>494.8517677921422</v>
      </c>
    </row>
    <row r="65" spans="1:3" x14ac:dyDescent="0.25">
      <c r="A65" s="38">
        <v>24</v>
      </c>
      <c r="B65" s="38">
        <v>290</v>
      </c>
      <c r="C65" s="38">
        <f t="shared" si="2"/>
        <v>484.38651139540161</v>
      </c>
    </row>
    <row r="66" spans="1:3" x14ac:dyDescent="0.25">
      <c r="A66" s="38">
        <v>25</v>
      </c>
      <c r="B66" s="38">
        <v>290</v>
      </c>
      <c r="C66" s="38">
        <f t="shared" si="2"/>
        <v>474.14257701583432</v>
      </c>
    </row>
    <row r="67" spans="1:3" x14ac:dyDescent="0.25">
      <c r="A67" s="38">
        <v>26</v>
      </c>
      <c r="B67" s="38">
        <v>290</v>
      </c>
      <c r="C67" s="38">
        <f t="shared" si="2"/>
        <v>464.115284076737</v>
      </c>
    </row>
    <row r="68" spans="1:3" x14ac:dyDescent="0.25">
      <c r="A68" s="38">
        <v>27</v>
      </c>
      <c r="B68" s="38">
        <v>290</v>
      </c>
      <c r="C68" s="38">
        <f t="shared" si="2"/>
        <v>454.30005098748313</v>
      </c>
    </row>
    <row r="69" spans="1:3" x14ac:dyDescent="0.25">
      <c r="A69" s="38">
        <v>28</v>
      </c>
      <c r="B69" s="38">
        <v>290</v>
      </c>
      <c r="C69" s="38">
        <f t="shared" si="2"/>
        <v>444.69239305014031</v>
      </c>
    </row>
    <row r="70" spans="1:3" x14ac:dyDescent="0.25">
      <c r="A70" s="38">
        <v>29</v>
      </c>
      <c r="B70" s="38">
        <v>290</v>
      </c>
      <c r="C70" s="38">
        <f t="shared" si="2"/>
        <v>435.28792041035649</v>
      </c>
    </row>
    <row r="71" spans="1:3" x14ac:dyDescent="0.25">
      <c r="A71" s="38">
        <v>30</v>
      </c>
      <c r="B71" s="38">
        <v>290</v>
      </c>
      <c r="C71" s="38">
        <f t="shared" si="2"/>
        <v>426.0823360515837</v>
      </c>
    </row>
    <row r="72" spans="1:3" x14ac:dyDescent="0.25">
      <c r="A72" s="38">
        <v>31</v>
      </c>
      <c r="B72" s="38">
        <v>290</v>
      </c>
      <c r="C72" s="38">
        <f t="shared" si="2"/>
        <v>417.07143383171945</v>
      </c>
    </row>
    <row r="73" spans="1:3" x14ac:dyDescent="0.25">
      <c r="A73" s="38">
        <v>32</v>
      </c>
      <c r="B73" s="38">
        <v>290</v>
      </c>
      <c r="C73" s="38">
        <f t="shared" si="2"/>
        <v>408.25109656126932</v>
      </c>
    </row>
    <row r="74" spans="1:3" x14ac:dyDescent="0.25">
      <c r="A74" s="38">
        <v>33</v>
      </c>
      <c r="B74" s="38">
        <v>290</v>
      </c>
      <c r="C74" s="38">
        <f t="shared" si="2"/>
        <v>399.61729412215431</v>
      </c>
    </row>
    <row r="75" spans="1:3" x14ac:dyDescent="0.25">
      <c r="A75" s="38">
        <v>34</v>
      </c>
      <c r="B75" s="38">
        <v>290</v>
      </c>
      <c r="C75" s="38">
        <f t="shared" si="2"/>
        <v>391.16608162630104</v>
      </c>
    </row>
    <row r="76" spans="1:3" x14ac:dyDescent="0.25">
      <c r="A76" s="38">
        <v>35</v>
      </c>
      <c r="B76" s="38">
        <v>290</v>
      </c>
      <c r="C76" s="38">
        <f t="shared" si="2"/>
        <v>382.89359761317507</v>
      </c>
    </row>
    <row r="77" spans="1:3" x14ac:dyDescent="0.25">
      <c r="A77" s="38">
        <v>36</v>
      </c>
      <c r="B77" s="38">
        <v>290</v>
      </c>
      <c r="C77" s="38">
        <f t="shared" si="2"/>
        <v>374.79606228543338</v>
      </c>
    </row>
    <row r="78" spans="1:3" x14ac:dyDescent="0.25">
      <c r="A78" s="38">
        <v>37</v>
      </c>
      <c r="B78" s="38">
        <v>290</v>
      </c>
      <c r="C78" s="38">
        <f t="shared" si="2"/>
        <v>366.86977578188925</v>
      </c>
    </row>
    <row r="79" spans="1:3" x14ac:dyDescent="0.25">
      <c r="A79" s="38">
        <v>38</v>
      </c>
      <c r="B79" s="38">
        <v>290</v>
      </c>
      <c r="C79" s="38">
        <f t="shared" si="2"/>
        <v>359.11111648700137</v>
      </c>
    </row>
    <row r="80" spans="1:3" x14ac:dyDescent="0.25">
      <c r="A80" s="38">
        <v>39</v>
      </c>
      <c r="B80" s="38">
        <v>290</v>
      </c>
      <c r="C80" s="38">
        <f t="shared" si="2"/>
        <v>351.51653937611422</v>
      </c>
    </row>
    <row r="81" spans="1:6" x14ac:dyDescent="0.25">
      <c r="A81" s="38">
        <v>40</v>
      </c>
      <c r="B81" s="38">
        <v>290</v>
      </c>
      <c r="C81" s="38">
        <f t="shared" si="2"/>
        <v>344.08257439569371</v>
      </c>
    </row>
    <row r="82" spans="1:6" x14ac:dyDescent="0.25">
      <c r="A82" s="38">
        <v>41</v>
      </c>
      <c r="B82" s="38">
        <v>290</v>
      </c>
      <c r="C82" s="38">
        <f t="shared" si="2"/>
        <v>336.80582487781783</v>
      </c>
    </row>
    <row r="83" spans="1:6" x14ac:dyDescent="0.25">
      <c r="A83" s="38">
        <v>42</v>
      </c>
      <c r="B83" s="38">
        <v>290</v>
      </c>
      <c r="C83" s="38">
        <f t="shared" si="2"/>
        <v>329.68296598819859</v>
      </c>
    </row>
    <row r="84" spans="1:6" x14ac:dyDescent="0.25">
      <c r="A84" s="38">
        <v>43</v>
      </c>
      <c r="B84" s="38">
        <v>290</v>
      </c>
      <c r="C84" s="38">
        <f t="shared" si="2"/>
        <v>322.71074320702496</v>
      </c>
    </row>
    <row r="85" spans="1:6" x14ac:dyDescent="0.25">
      <c r="A85" s="38">
        <v>44</v>
      </c>
      <c r="B85" s="38">
        <v>290</v>
      </c>
      <c r="C85" s="38">
        <f t="shared" si="2"/>
        <v>315.88597084193401</v>
      </c>
    </row>
    <row r="86" spans="1:6" x14ac:dyDescent="0.25">
      <c r="A86" s="38">
        <v>45</v>
      </c>
      <c r="B86" s="38">
        <v>290</v>
      </c>
      <c r="C86" s="38">
        <f t="shared" si="2"/>
        <v>309.20553057242938</v>
      </c>
    </row>
    <row r="87" spans="1:6" x14ac:dyDescent="0.25">
      <c r="A87" s="38">
        <v>46</v>
      </c>
      <c r="B87" s="38">
        <v>290</v>
      </c>
      <c r="C87" s="38">
        <f t="shared" si="2"/>
        <v>302.66637002508367</v>
      </c>
    </row>
    <row r="88" spans="1:6" x14ac:dyDescent="0.25">
      <c r="A88" s="38">
        <v>47</v>
      </c>
      <c r="B88" s="38">
        <v>290</v>
      </c>
      <c r="C88" s="38">
        <f t="shared" si="2"/>
        <v>296.26550137887176</v>
      </c>
    </row>
    <row r="89" spans="1:6" x14ac:dyDescent="0.25">
      <c r="A89" s="38">
        <v>48</v>
      </c>
      <c r="B89" s="38">
        <v>290</v>
      </c>
      <c r="C89" s="38">
        <f t="shared" si="2"/>
        <v>290</v>
      </c>
    </row>
    <row r="90" spans="1:6" x14ac:dyDescent="0.25">
      <c r="B90" s="38" t="s">
        <v>160</v>
      </c>
      <c r="C90" s="38">
        <f>SUM(C41:C89)</f>
        <v>30999.999999150281</v>
      </c>
      <c r="F90" s="39"/>
    </row>
    <row r="92" spans="1:6" x14ac:dyDescent="0.25">
      <c r="A92" s="38" t="s">
        <v>102</v>
      </c>
    </row>
    <row r="95" spans="1:6" x14ac:dyDescent="0.25">
      <c r="A95" s="38" t="s">
        <v>161</v>
      </c>
      <c r="B95" s="38">
        <v>100000</v>
      </c>
    </row>
    <row r="96" spans="1:6" x14ac:dyDescent="0.25">
      <c r="A96" s="38" t="s">
        <v>125</v>
      </c>
      <c r="B96" s="38">
        <v>0.1</v>
      </c>
    </row>
    <row r="97" spans="1:4" x14ac:dyDescent="0.25">
      <c r="A97" s="38" t="s">
        <v>162</v>
      </c>
      <c r="B97" s="38">
        <v>1.23E-3</v>
      </c>
    </row>
    <row r="98" spans="1:4" x14ac:dyDescent="0.25">
      <c r="A98" s="38" t="s">
        <v>163</v>
      </c>
      <c r="B98" s="38">
        <v>0.01</v>
      </c>
    </row>
    <row r="99" spans="1:4" x14ac:dyDescent="0.25">
      <c r="A99" s="38" t="s">
        <v>20</v>
      </c>
      <c r="B99" s="38">
        <v>3</v>
      </c>
    </row>
    <row r="101" spans="1:4" x14ac:dyDescent="0.25">
      <c r="A101" s="38" t="s">
        <v>164</v>
      </c>
      <c r="B101" s="38" t="s">
        <v>165</v>
      </c>
    </row>
    <row r="102" spans="1:4" x14ac:dyDescent="0.25">
      <c r="A102" s="38" t="s">
        <v>166</v>
      </c>
      <c r="B102" s="38" t="s">
        <v>167</v>
      </c>
      <c r="C102" s="38" t="s">
        <v>168</v>
      </c>
      <c r="D102" s="38">
        <f>B95*B97*B99</f>
        <v>369</v>
      </c>
    </row>
    <row r="103" spans="1:4" x14ac:dyDescent="0.25">
      <c r="A103" s="38" t="s">
        <v>169</v>
      </c>
      <c r="B103" s="38" t="s">
        <v>170</v>
      </c>
      <c r="C103" s="38" t="s">
        <v>171</v>
      </c>
      <c r="D103" s="38">
        <f>B95*B96*B99</f>
        <v>30000</v>
      </c>
    </row>
    <row r="104" spans="1:4" x14ac:dyDescent="0.25">
      <c r="A104" s="38" t="s">
        <v>172</v>
      </c>
      <c r="B104" s="38" t="s">
        <v>173</v>
      </c>
      <c r="C104" s="38" t="s">
        <v>174</v>
      </c>
      <c r="D104" s="38">
        <f>B95*B98</f>
        <v>1000</v>
      </c>
    </row>
    <row r="105" spans="1:4" x14ac:dyDescent="0.25">
      <c r="A105" s="38" t="s">
        <v>164</v>
      </c>
      <c r="D105" s="38">
        <f>D102+D103+D104</f>
        <v>31369</v>
      </c>
    </row>
    <row r="107" spans="1:4" x14ac:dyDescent="0.25">
      <c r="A107" s="38" t="s">
        <v>175</v>
      </c>
      <c r="B107" s="38" t="s">
        <v>176</v>
      </c>
      <c r="C107" s="38">
        <f>B95-D105</f>
        <v>68631</v>
      </c>
    </row>
    <row r="110" spans="1:4" x14ac:dyDescent="0.25">
      <c r="A110" s="38" t="s">
        <v>0</v>
      </c>
      <c r="B110" s="38" t="s">
        <v>177</v>
      </c>
      <c r="C110" s="38">
        <f>D105/C107</f>
        <v>0.45706750593755008</v>
      </c>
    </row>
    <row r="112" spans="1:4" x14ac:dyDescent="0.25">
      <c r="A112" s="38" t="s">
        <v>178</v>
      </c>
      <c r="C112" s="39">
        <f>C110/3</f>
        <v>0.1523558353125167</v>
      </c>
    </row>
    <row r="116" spans="1:12" x14ac:dyDescent="0.25">
      <c r="A116" s="38" t="s">
        <v>179</v>
      </c>
    </row>
    <row r="118" spans="1:12" x14ac:dyDescent="0.25">
      <c r="A118" s="38" t="s">
        <v>180</v>
      </c>
      <c r="B118" s="38">
        <v>0.12</v>
      </c>
    </row>
    <row r="119" spans="1:12" x14ac:dyDescent="0.25">
      <c r="A119" s="38" t="s">
        <v>181</v>
      </c>
      <c r="B119" s="38">
        <v>0.06</v>
      </c>
      <c r="C119" s="38" t="s">
        <v>182</v>
      </c>
    </row>
    <row r="121" spans="1:12" x14ac:dyDescent="0.25">
      <c r="A121" s="38" t="s">
        <v>183</v>
      </c>
      <c r="B121" s="38" t="s">
        <v>184</v>
      </c>
    </row>
    <row r="122" spans="1:12" x14ac:dyDescent="0.25">
      <c r="A122" s="39">
        <f>1+B118</f>
        <v>1.1200000000000001</v>
      </c>
      <c r="B122" s="38" t="s">
        <v>185</v>
      </c>
    </row>
    <row r="123" spans="1:12" x14ac:dyDescent="0.25">
      <c r="A123" s="38" t="s">
        <v>186</v>
      </c>
      <c r="B123" s="39">
        <f xml:space="preserve"> 1.12/1.06-1</f>
        <v>5.6603773584905648E-2</v>
      </c>
    </row>
    <row r="125" spans="1:12" ht="16.5" thickBot="1" x14ac:dyDescent="0.3">
      <c r="A125" s="38" t="s">
        <v>187</v>
      </c>
    </row>
    <row r="126" spans="1:12" ht="16.5" thickBot="1" x14ac:dyDescent="0.3">
      <c r="A126" s="43" t="s">
        <v>188</v>
      </c>
      <c r="B126" s="40" t="s">
        <v>189</v>
      </c>
      <c r="C126" s="40" t="s">
        <v>190</v>
      </c>
      <c r="D126" s="40" t="s">
        <v>191</v>
      </c>
      <c r="F126" s="44"/>
      <c r="G126" s="44"/>
      <c r="H126" s="44"/>
      <c r="I126" s="44"/>
      <c r="J126" s="45"/>
      <c r="K126" s="45"/>
      <c r="L126" s="45"/>
    </row>
    <row r="127" spans="1:12" ht="16.5" thickBot="1" x14ac:dyDescent="0.3">
      <c r="A127" s="46" t="s">
        <v>192</v>
      </c>
      <c r="B127" s="41"/>
      <c r="C127" s="41"/>
      <c r="D127" s="41">
        <v>1000</v>
      </c>
      <c r="F127" s="44"/>
      <c r="G127" s="44"/>
      <c r="H127" s="44"/>
      <c r="I127" s="47"/>
      <c r="J127" s="45"/>
      <c r="K127" s="45"/>
      <c r="L127" s="45"/>
    </row>
    <row r="128" spans="1:12" ht="16.5" thickBot="1" x14ac:dyDescent="0.3">
      <c r="A128" s="46" t="s">
        <v>193</v>
      </c>
      <c r="B128" s="41" t="s">
        <v>194</v>
      </c>
      <c r="C128" s="41" t="s">
        <v>195</v>
      </c>
      <c r="D128" s="41" t="s">
        <v>196</v>
      </c>
      <c r="F128" s="44"/>
      <c r="G128" s="44"/>
      <c r="H128" s="47"/>
      <c r="I128" s="47"/>
      <c r="J128" s="45"/>
      <c r="K128" s="45"/>
      <c r="L128" s="45"/>
    </row>
    <row r="129" spans="1:12" ht="16.5" thickBot="1" x14ac:dyDescent="0.3">
      <c r="A129" s="46" t="s">
        <v>197</v>
      </c>
      <c r="B129" s="41" t="s">
        <v>198</v>
      </c>
      <c r="C129" s="41">
        <v>200</v>
      </c>
      <c r="D129" s="41" t="s">
        <v>199</v>
      </c>
      <c r="F129" s="44"/>
      <c r="G129" s="44"/>
      <c r="H129" s="47"/>
      <c r="I129" s="47"/>
      <c r="J129" s="45"/>
      <c r="K129" s="45"/>
      <c r="L129" s="45"/>
    </row>
    <row r="130" spans="1:12" ht="16.5" thickBot="1" x14ac:dyDescent="0.3">
      <c r="A130" s="46" t="s">
        <v>200</v>
      </c>
      <c r="B130" s="41" t="s">
        <v>201</v>
      </c>
      <c r="C130" s="41">
        <v>3200</v>
      </c>
      <c r="D130" s="41">
        <v>-3500</v>
      </c>
      <c r="F130" s="44"/>
      <c r="G130" s="44"/>
      <c r="H130" s="47"/>
      <c r="I130" s="47"/>
      <c r="J130" s="45"/>
      <c r="K130" s="45"/>
      <c r="L130" s="45"/>
    </row>
    <row r="131" spans="1:12" ht="16.5" thickBot="1" x14ac:dyDescent="0.3">
      <c r="A131" s="46" t="s">
        <v>202</v>
      </c>
      <c r="B131" s="41" t="s">
        <v>194</v>
      </c>
      <c r="C131" s="41">
        <v>500</v>
      </c>
      <c r="D131" s="41" t="s">
        <v>203</v>
      </c>
      <c r="F131" s="44"/>
      <c r="G131" s="44"/>
      <c r="H131" s="47"/>
      <c r="I131" s="47"/>
      <c r="J131" s="45"/>
      <c r="K131" s="45"/>
      <c r="L131" s="45"/>
    </row>
    <row r="132" spans="1:12" ht="16.5" thickBot="1" x14ac:dyDescent="0.3">
      <c r="A132" s="46" t="s">
        <v>204</v>
      </c>
      <c r="B132" s="41" t="s">
        <v>205</v>
      </c>
      <c r="C132" s="41">
        <v>1000</v>
      </c>
      <c r="D132" s="41" t="s">
        <v>206</v>
      </c>
      <c r="F132" s="44"/>
      <c r="G132" s="44"/>
      <c r="H132" s="47"/>
      <c r="I132" s="47"/>
      <c r="J132" s="45"/>
      <c r="K132" s="45"/>
      <c r="L132" s="45"/>
    </row>
    <row r="133" spans="1:12" x14ac:dyDescent="0.25">
      <c r="F133" s="45"/>
      <c r="G133" s="45"/>
      <c r="H133" s="45"/>
      <c r="I133" s="45"/>
      <c r="J133" s="45"/>
      <c r="K133" s="45"/>
      <c r="L133" s="45"/>
    </row>
    <row r="136" spans="1:12" x14ac:dyDescent="0.25">
      <c r="A136" s="38" t="s">
        <v>37</v>
      </c>
      <c r="B136" s="38">
        <v>0.06</v>
      </c>
    </row>
    <row r="137" spans="1:12" x14ac:dyDescent="0.25">
      <c r="A137" s="38" t="s">
        <v>207</v>
      </c>
      <c r="B137" s="38" t="s">
        <v>20</v>
      </c>
      <c r="C137" s="38" t="s">
        <v>208</v>
      </c>
      <c r="D137" s="38" t="s">
        <v>209</v>
      </c>
    </row>
    <row r="138" spans="1:12" x14ac:dyDescent="0.25">
      <c r="A138" s="38" t="s">
        <v>210</v>
      </c>
      <c r="B138" s="38">
        <v>7</v>
      </c>
      <c r="C138" s="38">
        <v>500</v>
      </c>
      <c r="D138" s="38">
        <f>B138/30*C138*$B$136</f>
        <v>7</v>
      </c>
    </row>
    <row r="139" spans="1:12" x14ac:dyDescent="0.25">
      <c r="A139" s="38" t="s">
        <v>211</v>
      </c>
      <c r="B139" s="38">
        <v>5</v>
      </c>
      <c r="C139" s="38">
        <v>300</v>
      </c>
      <c r="D139" s="38">
        <f>B139/30*C139*$B$136</f>
        <v>3</v>
      </c>
    </row>
    <row r="140" spans="1:12" x14ac:dyDescent="0.25">
      <c r="A140" s="38" t="s">
        <v>212</v>
      </c>
      <c r="B140" s="38">
        <v>7</v>
      </c>
      <c r="C140" s="38">
        <v>3500</v>
      </c>
      <c r="D140" s="38">
        <f>B140/30*C140*$B$136</f>
        <v>48.999999999999993</v>
      </c>
    </row>
    <row r="141" spans="1:12" x14ac:dyDescent="0.25">
      <c r="A141" s="38" t="s">
        <v>213</v>
      </c>
      <c r="B141" s="38">
        <v>3</v>
      </c>
      <c r="C141" s="38">
        <v>4000</v>
      </c>
      <c r="D141" s="38">
        <f>B141/30*C141*$B$136</f>
        <v>24</v>
      </c>
    </row>
    <row r="142" spans="1:12" x14ac:dyDescent="0.25">
      <c r="A142" s="38" t="s">
        <v>214</v>
      </c>
      <c r="B142" s="38">
        <v>6</v>
      </c>
      <c r="C142" s="38">
        <v>5000</v>
      </c>
      <c r="D142" s="38">
        <f>B142/30*C142*$B$136</f>
        <v>60</v>
      </c>
    </row>
    <row r="143" spans="1:12" x14ac:dyDescent="0.25">
      <c r="C143" s="38" t="s">
        <v>160</v>
      </c>
      <c r="D143" s="38">
        <f>SUM(D138:D142)</f>
        <v>143</v>
      </c>
    </row>
    <row r="144" spans="1:12" x14ac:dyDescent="0.25">
      <c r="A144" s="38" t="s">
        <v>215</v>
      </c>
    </row>
    <row r="145" spans="1:3" x14ac:dyDescent="0.25">
      <c r="A145" s="48"/>
    </row>
    <row r="148" spans="1:3" x14ac:dyDescent="0.25">
      <c r="A148" s="38" t="s">
        <v>216</v>
      </c>
      <c r="C148" s="38" t="s">
        <v>217</v>
      </c>
    </row>
    <row r="149" spans="1:3" x14ac:dyDescent="0.25">
      <c r="A149" s="38">
        <v>0</v>
      </c>
      <c r="B149" s="38">
        <v>100000</v>
      </c>
    </row>
    <row r="150" spans="1:3" x14ac:dyDescent="0.25">
      <c r="A150" s="38">
        <v>1</v>
      </c>
      <c r="B150" s="38">
        <f>+B149*(1+C150)</f>
        <v>101499.99999999999</v>
      </c>
      <c r="C150" s="38">
        <v>1.4999999999999999E-2</v>
      </c>
    </row>
    <row r="151" spans="1:3" x14ac:dyDescent="0.25">
      <c r="A151" s="38">
        <v>2</v>
      </c>
      <c r="B151" s="38">
        <f>+B150*(1+C151)</f>
        <v>100281.99999999999</v>
      </c>
      <c r="C151" s="38">
        <v>-1.2E-2</v>
      </c>
    </row>
    <row r="152" spans="1:3" x14ac:dyDescent="0.25">
      <c r="A152" s="38">
        <v>3</v>
      </c>
      <c r="B152" s="38">
        <f>+B151*(1+C152)</f>
        <v>97474.103999999978</v>
      </c>
      <c r="C152" s="38">
        <v>-2.8000000000000001E-2</v>
      </c>
    </row>
    <row r="153" spans="1:3" x14ac:dyDescent="0.25">
      <c r="A153" s="38">
        <v>4</v>
      </c>
      <c r="B153" s="38">
        <f>+B152*(1+C153)</f>
        <v>101373.06815999998</v>
      </c>
      <c r="C153" s="38">
        <v>0.04</v>
      </c>
    </row>
    <row r="155" spans="1:3" x14ac:dyDescent="0.25">
      <c r="A155" s="38" t="s">
        <v>218</v>
      </c>
      <c r="B155" s="38">
        <f>(B153-B149)*0.1</f>
        <v>137.30681599999807</v>
      </c>
    </row>
    <row r="156" spans="1:3" x14ac:dyDescent="0.25">
      <c r="A156" s="38" t="s">
        <v>219</v>
      </c>
      <c r="B156" s="38">
        <f>B153</f>
        <v>101373.06815999998</v>
      </c>
    </row>
    <row r="157" spans="1:3" x14ac:dyDescent="0.25">
      <c r="A157" s="38" t="s">
        <v>220</v>
      </c>
      <c r="B157" s="38">
        <f>B156-B155</f>
        <v>101235.76134399998</v>
      </c>
    </row>
    <row r="159" spans="1:3" x14ac:dyDescent="0.25">
      <c r="A159" s="38" t="s">
        <v>0</v>
      </c>
      <c r="B159" s="39">
        <f>(B157/B149)^(1/4)-1</f>
        <v>3.0751890744660226E-3</v>
      </c>
    </row>
    <row r="162" spans="1:8" x14ac:dyDescent="0.25">
      <c r="A162" s="38" t="s">
        <v>221</v>
      </c>
    </row>
    <row r="163" spans="1:8" x14ac:dyDescent="0.25">
      <c r="A163" s="38" t="s">
        <v>222</v>
      </c>
      <c r="D163" s="38">
        <v>21</v>
      </c>
    </row>
    <row r="164" spans="1:8" x14ac:dyDescent="0.25">
      <c r="A164" s="38" t="s">
        <v>223</v>
      </c>
      <c r="B164" s="39">
        <v>991.71407499999998</v>
      </c>
      <c r="F164" s="38">
        <v>21</v>
      </c>
      <c r="G164" s="38">
        <v>991.71407499999998</v>
      </c>
      <c r="H164" s="38">
        <f>(1+0.105)^(1/252)</f>
        <v>1.0003962901489072</v>
      </c>
    </row>
    <row r="165" spans="1:8" x14ac:dyDescent="0.25">
      <c r="A165" s="38" t="s">
        <v>37</v>
      </c>
      <c r="B165" s="39">
        <f>((1000/B164)^(252/21))-1</f>
        <v>0.10499999349892453</v>
      </c>
      <c r="F165" s="38">
        <v>20</v>
      </c>
      <c r="G165" s="38">
        <f>G164*$H$164</f>
        <v>992.10708151845506</v>
      </c>
    </row>
    <row r="166" spans="1:8" x14ac:dyDescent="0.25">
      <c r="F166" s="38">
        <v>19</v>
      </c>
      <c r="G166" s="38">
        <f t="shared" ref="G166:G185" si="3">G165*$H$164</f>
        <v>992.50024378152193</v>
      </c>
    </row>
    <row r="167" spans="1:8" x14ac:dyDescent="0.25">
      <c r="A167" s="38" t="s">
        <v>224</v>
      </c>
      <c r="D167" s="38">
        <v>3</v>
      </c>
      <c r="F167" s="38">
        <v>18</v>
      </c>
      <c r="G167" s="38">
        <f t="shared" si="3"/>
        <v>992.89356185092049</v>
      </c>
    </row>
    <row r="168" spans="1:8" x14ac:dyDescent="0.25">
      <c r="F168" s="38">
        <v>17</v>
      </c>
      <c r="G168" s="38">
        <f t="shared" si="3"/>
        <v>993.28703578839543</v>
      </c>
    </row>
    <row r="169" spans="1:8" x14ac:dyDescent="0.25">
      <c r="A169" s="38" t="s">
        <v>225</v>
      </c>
      <c r="B169" s="38">
        <f>B164*((1+B165)^(3/252))</f>
        <v>992.89356178137859</v>
      </c>
      <c r="F169" s="38">
        <v>16</v>
      </c>
      <c r="G169" s="38">
        <f t="shared" si="3"/>
        <v>993.68066565571564</v>
      </c>
    </row>
    <row r="170" spans="1:8" x14ac:dyDescent="0.25">
      <c r="A170" s="38" t="s">
        <v>225</v>
      </c>
      <c r="B170" s="38">
        <f>1000/((1+B165)^(18/252))</f>
        <v>992.89356178137871</v>
      </c>
      <c r="F170" s="38">
        <v>15</v>
      </c>
      <c r="G170" s="38">
        <f t="shared" si="3"/>
        <v>994.07445151467459</v>
      </c>
    </row>
    <row r="171" spans="1:8" x14ac:dyDescent="0.25">
      <c r="F171" s="38">
        <v>14</v>
      </c>
      <c r="G171" s="38">
        <f t="shared" si="3"/>
        <v>994.46839342709018</v>
      </c>
    </row>
    <row r="172" spans="1:8" x14ac:dyDescent="0.25">
      <c r="A172" s="38" t="s">
        <v>226</v>
      </c>
      <c r="F172" s="38">
        <v>13</v>
      </c>
      <c r="G172" s="38">
        <f t="shared" si="3"/>
        <v>994.86249145480485</v>
      </c>
    </row>
    <row r="173" spans="1:8" x14ac:dyDescent="0.25">
      <c r="F173" s="38">
        <v>12</v>
      </c>
      <c r="G173" s="38">
        <f t="shared" si="3"/>
        <v>995.25674565968563</v>
      </c>
    </row>
    <row r="174" spans="1:8" x14ac:dyDescent="0.25">
      <c r="A174" s="38" t="s">
        <v>227</v>
      </c>
      <c r="B174" s="38">
        <f>+B164*((1+B165)^(11/252))</f>
        <v>996.04572259273959</v>
      </c>
      <c r="F174" s="38">
        <v>11</v>
      </c>
      <c r="G174" s="38">
        <f t="shared" si="3"/>
        <v>995.65115610362398</v>
      </c>
    </row>
    <row r="175" spans="1:8" x14ac:dyDescent="0.25">
      <c r="A175" s="38" t="s">
        <v>227</v>
      </c>
      <c r="B175" s="38">
        <f>1000/((1+B165)^( 10/252))</f>
        <v>996.04572259273971</v>
      </c>
      <c r="F175" s="38">
        <v>10</v>
      </c>
      <c r="G175" s="38">
        <f t="shared" si="3"/>
        <v>996.04572284853589</v>
      </c>
    </row>
    <row r="176" spans="1:8" x14ac:dyDescent="0.25">
      <c r="F176" s="38">
        <v>9</v>
      </c>
      <c r="G176" s="38">
        <f>G175*$H$164</f>
        <v>996.44044595636194</v>
      </c>
    </row>
    <row r="177" spans="1:7" x14ac:dyDescent="0.25">
      <c r="A177" s="38" t="s">
        <v>228</v>
      </c>
      <c r="C177" s="38">
        <v>0.125</v>
      </c>
      <c r="F177" s="38">
        <v>8</v>
      </c>
      <c r="G177" s="38">
        <f t="shared" si="3"/>
        <v>996.83532548906715</v>
      </c>
    </row>
    <row r="178" spans="1:7" x14ac:dyDescent="0.25">
      <c r="F178" s="38">
        <v>7</v>
      </c>
      <c r="G178" s="38">
        <f t="shared" si="3"/>
        <v>997.23036150864118</v>
      </c>
    </row>
    <row r="179" spans="1:7" x14ac:dyDescent="0.25">
      <c r="A179" s="38" t="s">
        <v>229</v>
      </c>
      <c r="C179" s="38">
        <f>1000/((1+C177)^(10/252))</f>
        <v>995.33697582677621</v>
      </c>
      <c r="F179" s="38">
        <v>6</v>
      </c>
      <c r="G179" s="38">
        <f t="shared" si="3"/>
        <v>997.62555407709817</v>
      </c>
    </row>
    <row r="180" spans="1:7" x14ac:dyDescent="0.25">
      <c r="F180" s="38">
        <v>5</v>
      </c>
      <c r="G180" s="38">
        <f t="shared" si="3"/>
        <v>998.02090325647703</v>
      </c>
    </row>
    <row r="181" spans="1:7" x14ac:dyDescent="0.25">
      <c r="A181" s="38" t="s">
        <v>230</v>
      </c>
      <c r="C181" s="38">
        <f>B165</f>
        <v>0.10499999349892453</v>
      </c>
      <c r="F181" s="38">
        <v>4</v>
      </c>
      <c r="G181" s="38">
        <f t="shared" si="3"/>
        <v>998.41640910884098</v>
      </c>
    </row>
    <row r="182" spans="1:7" x14ac:dyDescent="0.25">
      <c r="F182" s="38">
        <v>3</v>
      </c>
      <c r="G182" s="38">
        <f t="shared" si="3"/>
        <v>998.81207169627805</v>
      </c>
    </row>
    <row r="183" spans="1:7" x14ac:dyDescent="0.25">
      <c r="A183" s="38" t="s">
        <v>231</v>
      </c>
      <c r="F183" s="38">
        <v>2</v>
      </c>
      <c r="G183" s="38">
        <f>G182*$H$164</f>
        <v>999.20789108090082</v>
      </c>
    </row>
    <row r="184" spans="1:7" x14ac:dyDescent="0.25">
      <c r="A184" s="38" t="s">
        <v>232</v>
      </c>
      <c r="B184" s="39">
        <f>((C179/B164)^(252/11))-1</f>
        <v>8.7126876581443469E-2</v>
      </c>
      <c r="F184" s="38">
        <v>1</v>
      </c>
      <c r="G184" s="38">
        <f t="shared" si="3"/>
        <v>999.60386732484653</v>
      </c>
    </row>
    <row r="185" spans="1:7" x14ac:dyDescent="0.25">
      <c r="F185" s="38">
        <v>0</v>
      </c>
      <c r="G185" s="38">
        <f t="shared" si="3"/>
        <v>1000.0000004902769</v>
      </c>
    </row>
    <row r="187" spans="1:7" x14ac:dyDescent="0.25">
      <c r="A187" s="38" t="s">
        <v>233</v>
      </c>
    </row>
    <row r="189" spans="1:7" x14ac:dyDescent="0.25">
      <c r="A189" s="38" t="s">
        <v>234</v>
      </c>
      <c r="B189" s="38">
        <f>1000/(1+10%)^(21/252)</f>
        <v>992.08894344699092</v>
      </c>
    </row>
    <row r="190" spans="1:7" x14ac:dyDescent="0.25">
      <c r="A190" s="38" t="s">
        <v>235</v>
      </c>
      <c r="B190" s="38">
        <v>21</v>
      </c>
    </row>
    <row r="192" spans="1:7" x14ac:dyDescent="0.25">
      <c r="A192" s="38" t="s">
        <v>37</v>
      </c>
      <c r="B192" s="39">
        <f>(1000/B189)^(252/21)-1</f>
        <v>0.10000000000000031</v>
      </c>
    </row>
    <row r="195" spans="1:2" x14ac:dyDescent="0.25">
      <c r="A195" s="38" t="s">
        <v>236</v>
      </c>
      <c r="B195" s="38">
        <v>976.030079</v>
      </c>
    </row>
    <row r="196" spans="1:2" x14ac:dyDescent="0.25">
      <c r="A196" s="38" t="s">
        <v>235</v>
      </c>
      <c r="B196" s="38">
        <v>42</v>
      </c>
    </row>
    <row r="198" spans="1:2" x14ac:dyDescent="0.25">
      <c r="A198" s="38" t="s">
        <v>37</v>
      </c>
      <c r="B198" s="39">
        <f>(1000/B195)^(252/42)-1</f>
        <v>0.15670014234248186</v>
      </c>
    </row>
    <row r="200" spans="1:2" x14ac:dyDescent="0.25">
      <c r="A200" s="38" t="s">
        <v>237</v>
      </c>
      <c r="B200" s="38">
        <f>(1000/B189)^(252/21)-1</f>
        <v>0.10000000000000031</v>
      </c>
    </row>
    <row r="202" spans="1:2" x14ac:dyDescent="0.25">
      <c r="A202" s="38" t="s">
        <v>238</v>
      </c>
    </row>
    <row r="203" spans="1:2" x14ac:dyDescent="0.25">
      <c r="A203" s="38" t="s">
        <v>239</v>
      </c>
      <c r="B203" s="39">
        <f>5%</f>
        <v>0.05</v>
      </c>
    </row>
    <row r="204" spans="1:2" x14ac:dyDescent="0.25">
      <c r="A204" s="38" t="s">
        <v>240</v>
      </c>
    </row>
    <row r="205" spans="1:2" x14ac:dyDescent="0.25">
      <c r="A205" s="38" t="s">
        <v>241</v>
      </c>
      <c r="B205" s="39">
        <f>(1+B200)/(1+B203)-1</f>
        <v>4.7619047619047894E-2</v>
      </c>
    </row>
    <row r="208" spans="1:2" x14ac:dyDescent="0.25">
      <c r="A208" s="38" t="s">
        <v>242</v>
      </c>
    </row>
    <row r="209" spans="1:4" x14ac:dyDescent="0.25">
      <c r="C209" s="38" t="s">
        <v>243</v>
      </c>
    </row>
    <row r="210" spans="1:4" x14ac:dyDescent="0.25">
      <c r="A210" s="38" t="s">
        <v>244</v>
      </c>
      <c r="B210" s="38">
        <f>B192</f>
        <v>0.10000000000000031</v>
      </c>
      <c r="C210" s="38">
        <f>(1+B210)^(B211/252)</f>
        <v>1.0079741404289038</v>
      </c>
    </row>
    <row r="211" spans="1:4" x14ac:dyDescent="0.25">
      <c r="A211" s="38" t="s">
        <v>245</v>
      </c>
      <c r="B211" s="38">
        <v>21</v>
      </c>
    </row>
    <row r="213" spans="1:4" x14ac:dyDescent="0.25">
      <c r="A213" s="38" t="s">
        <v>246</v>
      </c>
      <c r="B213" s="38">
        <f>B198</f>
        <v>0.15670014234248186</v>
      </c>
      <c r="C213" s="38">
        <f>(1+B213)^(B214/252)</f>
        <v>1.0245585884244044</v>
      </c>
    </row>
    <row r="214" spans="1:4" x14ac:dyDescent="0.25">
      <c r="A214" s="38" t="s">
        <v>245</v>
      </c>
      <c r="B214" s="38">
        <v>42</v>
      </c>
    </row>
    <row r="217" spans="1:4" x14ac:dyDescent="0.25">
      <c r="A217" s="38" t="s">
        <v>247</v>
      </c>
      <c r="C217" s="38">
        <f>C213/C210</f>
        <v>1.0164532474895078</v>
      </c>
      <c r="D217" s="38">
        <f>B189/B195</f>
        <v>1.0164532474895078</v>
      </c>
    </row>
    <row r="218" spans="1:4" x14ac:dyDescent="0.25">
      <c r="A218" s="38" t="s">
        <v>247</v>
      </c>
      <c r="C218" s="39">
        <f>C217^(252/21)-1</f>
        <v>0.21632292663192665</v>
      </c>
      <c r="D218" s="39">
        <f>D217^(252/21)-1</f>
        <v>0.21632292663192665</v>
      </c>
    </row>
    <row r="221" spans="1:4" x14ac:dyDescent="0.25">
      <c r="A221" s="38" t="s">
        <v>248</v>
      </c>
      <c r="B221" s="38">
        <f>B213</f>
        <v>0.15670014234248186</v>
      </c>
    </row>
    <row r="225" spans="1:2" x14ac:dyDescent="0.25">
      <c r="A225" s="49"/>
    </row>
    <row r="229" spans="1:2" x14ac:dyDescent="0.25">
      <c r="A229" s="49"/>
    </row>
    <row r="232" spans="1:2" x14ac:dyDescent="0.25">
      <c r="A232" s="49"/>
    </row>
    <row r="235" spans="1:2" x14ac:dyDescent="0.25">
      <c r="B235" s="42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Lista_1</vt:lpstr>
      <vt:lpstr>Lista_2</vt:lpstr>
      <vt:lpstr>Lista 3</vt:lpstr>
      <vt:lpstr>Lista 4</vt:lpstr>
      <vt:lpstr>Lista 5</vt:lpstr>
      <vt:lpstr>Lista 6</vt:lpstr>
      <vt:lpstr>Lista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Demab.Berger</dc:creator>
  <cp:lastModifiedBy>Paulo Berger</cp:lastModifiedBy>
  <dcterms:created xsi:type="dcterms:W3CDTF">2013-10-18T14:46:13Z</dcterms:created>
  <dcterms:modified xsi:type="dcterms:W3CDTF">2013-10-21T18:39:09Z</dcterms:modified>
</cp:coreProperties>
</file>